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365"/>
  <workbookPr/>
  <bookViews>
    <workbookView xWindow="65521" yWindow="65521" windowWidth="15480" windowHeight="6180" tabRatio="809" activeTab="0"/>
  </bookViews>
  <sheets>
    <sheet name="Anglen,Buel" sheetId="1" r:id="rId1"/>
    <sheet name="Baker, Bill John" sheetId="2" r:id="rId2"/>
    <sheet name="Cowan-Watts, Cara" sheetId="3" r:id="rId3"/>
    <sheet name="Crittenden, Joe" sheetId="4" r:id="rId4"/>
    <sheet name="Grayson, Joe Jr." sheetId="5" r:id="rId5"/>
    <sheet name="Frailey, Meredith" sheetId="6" r:id="rId6"/>
    <sheet name="Garvin, Don" sheetId="7" r:id="rId7"/>
    <sheet name="Hoskin, Charles" sheetId="8" r:id="rId8"/>
    <sheet name="Johnson, William G." sheetId="9" r:id="rId9"/>
    <sheet name="Keener, John" sheetId="10" r:id="rId10"/>
    <sheet name="Martin, Jackie Bob" sheetId="11" r:id="rId11"/>
    <sheet name="O'Leary, Linda" sheetId="12" r:id="rId12"/>
    <sheet name="Shotpouch, Melvina" sheetId="13" r:id="rId13"/>
    <sheet name="Smith, Chadwick" sheetId="14" r:id="rId14"/>
    <sheet name="Smoke-Connor, Audra" sheetId="15" r:id="rId15"/>
    <sheet name="Thornton, David" sheetId="16" r:id="rId16"/>
    <sheet name="Yargee, Phyllis" sheetId="17" r:id="rId17"/>
  </sheets>
  <definedNames>
    <definedName name="_xlnm.Print_Area" localSheetId="3">'Crittenden, Joe'!$A$1:$L$13</definedName>
    <definedName name="_xlnm.Print_Area" localSheetId="7">'Hoskin, Charles'!$A$1:$L$14</definedName>
    <definedName name="_xlnm.Print_Area" localSheetId="13">'Smith, Chadwick'!$A$1:$L$44</definedName>
    <definedName name="_xlnm.Print_Area" localSheetId="16">'Yargee, Phyllis'!$A$1:$L$15</definedName>
  </definedNames>
  <calcPr fullCalcOnLoad="1"/>
</workbook>
</file>

<file path=xl/comments11.xml><?xml version="1.0" encoding="utf-8"?>
<comments xmlns="http://schemas.openxmlformats.org/spreadsheetml/2006/main">
  <authors>
    <author>tamsye-leake</author>
  </authors>
  <commentList>
    <comment ref="G10" authorId="0">
      <text>
        <r>
          <rPr>
            <b/>
            <sz val="8"/>
            <rFont val="Tahoma"/>
            <family val="0"/>
          </rPr>
          <t>tamsye-leake:</t>
        </r>
        <r>
          <rPr>
            <sz val="8"/>
            <rFont val="Tahoma"/>
            <family val="0"/>
          </rPr>
          <t xml:space="preserve">
MILEAGE $79.52 plus TOLLS $70.25</t>
        </r>
      </text>
    </comment>
  </commentList>
</comments>
</file>

<file path=xl/comments12.xml><?xml version="1.0" encoding="utf-8"?>
<comments xmlns="http://schemas.openxmlformats.org/spreadsheetml/2006/main">
  <authors>
    <author>tamsye-leake</author>
  </authors>
  <commentList>
    <comment ref="G9" authorId="0">
      <text>
        <r>
          <rPr>
            <b/>
            <sz val="8"/>
            <rFont val="Tahoma"/>
            <family val="0"/>
          </rPr>
          <t>tamsye-leake:</t>
        </r>
        <r>
          <rPr>
            <sz val="8"/>
            <rFont val="Tahoma"/>
            <family val="0"/>
          </rPr>
          <t xml:space="preserve">
MILEAGE $83.66 plus TOLLS $74.68 plus GROUND FARES $172.40</t>
        </r>
      </text>
    </comment>
    <comment ref="G12" authorId="0">
      <text>
        <r>
          <rPr>
            <b/>
            <sz val="8"/>
            <rFont val="Tahoma"/>
            <family val="0"/>
          </rPr>
          <t>tamsye-leake:</t>
        </r>
        <r>
          <rPr>
            <sz val="8"/>
            <rFont val="Tahoma"/>
            <family val="0"/>
          </rPr>
          <t xml:space="preserve">
MILEAGE $83.66 plus TOLLS $28.10 plus GROUND FARES $53.00
</t>
        </r>
      </text>
    </comment>
  </commentList>
</comments>
</file>

<file path=xl/comments16.xml><?xml version="1.0" encoding="utf-8"?>
<comments xmlns="http://schemas.openxmlformats.org/spreadsheetml/2006/main">
  <authors>
    <author>tamsye-leake</author>
  </authors>
  <commentList>
    <comment ref="G12" authorId="0">
      <text>
        <r>
          <rPr>
            <b/>
            <sz val="8"/>
            <rFont val="Tahoma"/>
            <family val="0"/>
          </rPr>
          <t>tamsye-leake:</t>
        </r>
        <r>
          <rPr>
            <sz val="8"/>
            <rFont val="Tahoma"/>
            <family val="0"/>
          </rPr>
          <t xml:space="preserve">
MILEAGE 79.38 plus TOLLS $22.90</t>
        </r>
      </text>
    </comment>
  </commentList>
</comments>
</file>

<file path=xl/comments3.xml><?xml version="1.0" encoding="utf-8"?>
<comments xmlns="http://schemas.openxmlformats.org/spreadsheetml/2006/main">
  <authors>
    <author>tamsye-leake</author>
  </authors>
  <commentList>
    <comment ref="K9" authorId="0">
      <text>
        <r>
          <rPr>
            <b/>
            <sz val="8"/>
            <rFont val="Tahoma"/>
            <family val="0"/>
          </rPr>
          <t>tamsye-leake:</t>
        </r>
        <r>
          <rPr>
            <sz val="8"/>
            <rFont val="Tahoma"/>
            <family val="0"/>
          </rPr>
          <t xml:space="preserve">
Ground fares ($35) and tolls &amp; parking ($26)
</t>
        </r>
      </text>
    </comment>
    <comment ref="K11" authorId="0">
      <text>
        <r>
          <rPr>
            <b/>
            <sz val="8"/>
            <rFont val="Tahoma"/>
            <family val="0"/>
          </rPr>
          <t>tamsye-leake:</t>
        </r>
        <r>
          <rPr>
            <sz val="8"/>
            <rFont val="Tahoma"/>
            <family val="0"/>
          </rPr>
          <t xml:space="preserve">
Ground fares
</t>
        </r>
      </text>
    </comment>
    <comment ref="H11" authorId="0">
      <text>
        <r>
          <rPr>
            <b/>
            <sz val="8"/>
            <rFont val="Tahoma"/>
            <family val="0"/>
          </rPr>
          <t>tamsye-leake:</t>
        </r>
        <r>
          <rPr>
            <sz val="8"/>
            <rFont val="Tahoma"/>
            <family val="0"/>
          </rPr>
          <t xml:space="preserve">
charged to credit card</t>
        </r>
      </text>
    </comment>
  </commentList>
</comments>
</file>

<file path=xl/comments4.xml><?xml version="1.0" encoding="utf-8"?>
<comments xmlns="http://schemas.openxmlformats.org/spreadsheetml/2006/main">
  <authors>
    <author>June Butler</author>
  </authors>
  <commentList>
    <comment ref="I10" authorId="0">
      <text>
        <r>
          <rPr>
            <b/>
            <sz val="8"/>
            <rFont val="Tahoma"/>
            <family val="0"/>
          </rPr>
          <t>June Butler:</t>
        </r>
        <r>
          <rPr>
            <sz val="8"/>
            <rFont val="Tahoma"/>
            <family val="0"/>
          </rPr>
          <t xml:space="preserve">
lodged  with Thorton
</t>
        </r>
      </text>
    </comment>
  </commentList>
</comments>
</file>

<file path=xl/comments7.xml><?xml version="1.0" encoding="utf-8"?>
<comments xmlns="http://schemas.openxmlformats.org/spreadsheetml/2006/main">
  <authors>
    <author>tamsye-leake</author>
  </authors>
  <commentList>
    <comment ref="G12" authorId="0">
      <text>
        <r>
          <rPr>
            <b/>
            <sz val="8"/>
            <rFont val="Tahoma"/>
            <family val="0"/>
          </rPr>
          <t>tamsye-leake:</t>
        </r>
        <r>
          <rPr>
            <sz val="8"/>
            <rFont val="Tahoma"/>
            <family val="0"/>
          </rPr>
          <t xml:space="preserve">
Mileage $36.14 + Tolls &amp; Parking $37.70</t>
        </r>
      </text>
    </comment>
  </commentList>
</comments>
</file>

<file path=xl/comments8.xml><?xml version="1.0" encoding="utf-8"?>
<comments xmlns="http://schemas.openxmlformats.org/spreadsheetml/2006/main">
  <authors>
    <author>tamsye-leake</author>
  </authors>
  <commentList>
    <comment ref="G12" authorId="0">
      <text>
        <r>
          <rPr>
            <b/>
            <sz val="8"/>
            <rFont val="Tahoma"/>
            <family val="0"/>
          </rPr>
          <t>tamsye-leake:</t>
        </r>
        <r>
          <rPr>
            <sz val="8"/>
            <rFont val="Tahoma"/>
            <family val="0"/>
          </rPr>
          <t xml:space="preserve">
Mileage $63.89 plus tolls/parking $34.90 plus ground fares $47.08</t>
        </r>
      </text>
    </comment>
    <comment ref="G10" authorId="0">
      <text>
        <r>
          <rPr>
            <b/>
            <sz val="8"/>
            <rFont val="Tahoma"/>
            <family val="0"/>
          </rPr>
          <t>tamsye-leake:</t>
        </r>
        <r>
          <rPr>
            <sz val="8"/>
            <rFont val="Tahoma"/>
            <family val="0"/>
          </rPr>
          <t xml:space="preserve">
MILEAGE - $58.68 plus
TOLLS - $44.75 plus GROUND FARES $166.49
</t>
        </r>
      </text>
    </comment>
  </commentList>
</comments>
</file>

<file path=xl/comments9.xml><?xml version="1.0" encoding="utf-8"?>
<comments xmlns="http://schemas.openxmlformats.org/spreadsheetml/2006/main">
  <authors>
    <author>tamsye-leake</author>
  </authors>
  <commentList>
    <comment ref="G9" authorId="0">
      <text>
        <r>
          <rPr>
            <b/>
            <sz val="8"/>
            <rFont val="Tahoma"/>
            <family val="0"/>
          </rPr>
          <t>tamsye-leake:</t>
        </r>
        <r>
          <rPr>
            <sz val="8"/>
            <rFont val="Tahoma"/>
            <family val="0"/>
          </rPr>
          <t xml:space="preserve">
MILEAGE $597.68 plus TOLLS $37.79</t>
        </r>
      </text>
    </comment>
    <comment ref="G10" authorId="0">
      <text>
        <r>
          <rPr>
            <b/>
            <sz val="8"/>
            <rFont val="Tahoma"/>
            <family val="0"/>
          </rPr>
          <t>tamsye-leake:</t>
        </r>
        <r>
          <rPr>
            <sz val="8"/>
            <rFont val="Tahoma"/>
            <family val="0"/>
          </rPr>
          <t xml:space="preserve">
MILEAGE $74.81 plus TOLLS $62.24 plus GROUND FARES $306.56</t>
        </r>
      </text>
    </comment>
  </commentList>
</comments>
</file>

<file path=xl/sharedStrings.xml><?xml version="1.0" encoding="utf-8"?>
<sst xmlns="http://schemas.openxmlformats.org/spreadsheetml/2006/main" count="682" uniqueCount="288">
  <si>
    <t>Tahlequah, OK</t>
  </si>
  <si>
    <t>Payment Detail</t>
  </si>
  <si>
    <t>Payment</t>
  </si>
  <si>
    <t>Trip</t>
  </si>
  <si>
    <t>Destination</t>
  </si>
  <si>
    <t>Purpose</t>
  </si>
  <si>
    <t>Mileage</t>
  </si>
  <si>
    <t>Airfare</t>
  </si>
  <si>
    <t>Lodging</t>
  </si>
  <si>
    <t>Per Diem</t>
  </si>
  <si>
    <t>Other</t>
  </si>
  <si>
    <t>Total</t>
  </si>
  <si>
    <t>No.</t>
  </si>
  <si>
    <t>Date</t>
  </si>
  <si>
    <t>&amp; Auto</t>
  </si>
  <si>
    <t>&amp; Meals</t>
  </si>
  <si>
    <t>Bill John Baker</t>
  </si>
  <si>
    <t>Fiscal Year 2006</t>
  </si>
  <si>
    <t>Invoice</t>
  </si>
  <si>
    <t>TXPNM31906</t>
  </si>
  <si>
    <t>Albuquerque, NM</t>
  </si>
  <si>
    <t>Cherokees of NM Annual Meeting &amp; Dinner</t>
  </si>
  <si>
    <t>TOTAL as of September 30, 2006</t>
  </si>
  <si>
    <t>Cara Cowan-Watts</t>
  </si>
  <si>
    <t>Claremore, OK</t>
  </si>
  <si>
    <t>TXP NC 110605</t>
  </si>
  <si>
    <t>AISES 27TH ANNUAL CONFERENCE</t>
  </si>
  <si>
    <t>Charlotte, NC</t>
  </si>
  <si>
    <t>Audra Smoke-Connor</t>
  </si>
  <si>
    <t>TXP MI 62206</t>
  </si>
  <si>
    <t>Sault Ste. Marie, MI</t>
  </si>
  <si>
    <t>S. Joe Crittenden</t>
  </si>
  <si>
    <t>Stilwell, OK</t>
  </si>
  <si>
    <t>TXP DC 042606</t>
  </si>
  <si>
    <t>Washington, DC</t>
  </si>
  <si>
    <t>TRV NM 111705</t>
  </si>
  <si>
    <t xml:space="preserve">Albuquerque, NM </t>
  </si>
  <si>
    <t>CONGRESSIONAL DELEGATION MEETING</t>
  </si>
  <si>
    <t>TRV HI 052006</t>
  </si>
  <si>
    <t>Honolulu, HI</t>
  </si>
  <si>
    <t>Meredith Frailey</t>
  </si>
  <si>
    <t>Locust Grove, OK</t>
  </si>
  <si>
    <t>Phyllis Yargee</t>
  </si>
  <si>
    <t>Gore, OK</t>
  </si>
  <si>
    <t>David Thornton</t>
  </si>
  <si>
    <t>Vian, OK</t>
  </si>
  <si>
    <t>Hulbert, OK</t>
  </si>
  <si>
    <t>District 3 - Sequoyah</t>
  </si>
  <si>
    <t>District 1 - Cherokee</t>
  </si>
  <si>
    <t>District 6 - Mayes</t>
  </si>
  <si>
    <t>District 5 - Delaware</t>
  </si>
  <si>
    <t>Chad Smith</t>
  </si>
  <si>
    <t>Principal Chief</t>
  </si>
  <si>
    <t>Melvina Shotpouch</t>
  </si>
  <si>
    <t>Jay, OK</t>
  </si>
  <si>
    <t>Linda Hughes-O'Leary</t>
  </si>
  <si>
    <t>Jackie Bob Martin</t>
  </si>
  <si>
    <t>District 2 - Trail of Tears</t>
  </si>
  <si>
    <t>William G. "Bill" Johnson</t>
  </si>
  <si>
    <t>Dewey, OK</t>
  </si>
  <si>
    <t>District 8 - Keeler</t>
  </si>
  <si>
    <t>Vinita, OK</t>
  </si>
  <si>
    <t>District 9 - Craig</t>
  </si>
  <si>
    <t>Joe Grayson, Jr.</t>
  </si>
  <si>
    <t>Deputy Principal Chief</t>
  </si>
  <si>
    <t>Don Garvin</t>
  </si>
  <si>
    <t>Muskogee, OK</t>
  </si>
  <si>
    <t>District 4 - Three Rivers</t>
  </si>
  <si>
    <t>District 7 - Rogers</t>
  </si>
  <si>
    <t>TXP DURANT 12006</t>
  </si>
  <si>
    <t>FIVE TRIBES TRIBAL QTRLY MEETING</t>
  </si>
  <si>
    <t>Durant, OK</t>
  </si>
  <si>
    <t>TRV MW CITY 042006</t>
  </si>
  <si>
    <t>Midwest City, OK</t>
  </si>
  <si>
    <t>TRVOKC052006</t>
  </si>
  <si>
    <t>Oklahoma City, OK</t>
  </si>
  <si>
    <t>Denver, CO</t>
  </si>
  <si>
    <t>Sacremento/Bakrsfld, CA</t>
  </si>
  <si>
    <t>NIEA ANNUAL CONVENTION</t>
  </si>
  <si>
    <t>FIVE TRIBES INTER-TRIBAL QUARTERLY MEETING</t>
  </si>
  <si>
    <t>NCAI MID YEAR CONFERENCE</t>
  </si>
  <si>
    <t>TRV DURANT 011906</t>
  </si>
  <si>
    <t>TRV CO 100505</t>
  </si>
  <si>
    <t>TRV CA 100206</t>
  </si>
  <si>
    <t>Sacramento/Bakrsfld, CA</t>
  </si>
  <si>
    <t>Acme, MI</t>
  </si>
  <si>
    <t>OKC, OK</t>
  </si>
  <si>
    <t>Minneapolis, MN</t>
  </si>
  <si>
    <t xml:space="preserve">Thackerville, OK </t>
  </si>
  <si>
    <t xml:space="preserve">Tulsa, OK </t>
  </si>
  <si>
    <t>Nashville, TN</t>
  </si>
  <si>
    <t xml:space="preserve">Choctaw, MS </t>
  </si>
  <si>
    <t>2006 ANNUAL SG CONFERENCE</t>
  </si>
  <si>
    <t>COMMUNITY MEETING</t>
  </si>
  <si>
    <t>NATIVE AMERICAN CDFI MEETING</t>
  </si>
  <si>
    <t>TRIBAL DIABETES LEADER COMM MTG</t>
  </si>
  <si>
    <t>NATIVE AMERICAN EMERGENCY SERVICES ASSOCIATION</t>
  </si>
  <si>
    <t>CHOCTAW INDIAN FAIR</t>
  </si>
  <si>
    <t>NCAI MID YEAR SESSION</t>
  </si>
  <si>
    <t>DOI SELF GOVERNANCE ADVISORY COMM &amp; TECH WORKSHOP</t>
  </si>
  <si>
    <t>TXP TULSA 110405</t>
  </si>
  <si>
    <t>TXP DC 12706</t>
  </si>
  <si>
    <t>NATIONAL CONGRESS OF AMERICAN INDIANS 62 ND ANNUAL SESSION</t>
  </si>
  <si>
    <t>Charles Hoskin</t>
  </si>
  <si>
    <t>TXP-NM 111805</t>
  </si>
  <si>
    <t>TXP DC 030106</t>
  </si>
  <si>
    <t>TXP TN 21606</t>
  </si>
  <si>
    <t>TXP NM 031606</t>
  </si>
  <si>
    <t>TXP MN 33006</t>
  </si>
  <si>
    <t>TXP CA 050106</t>
  </si>
  <si>
    <t>TXP OKC42106</t>
  </si>
  <si>
    <t>TXP MI 51206</t>
  </si>
  <si>
    <t>TXP DC 072806</t>
  </si>
  <si>
    <t>TXP MS 071406</t>
  </si>
  <si>
    <t>TXP OKC 82106</t>
  </si>
  <si>
    <t>TXP OK 100705</t>
  </si>
  <si>
    <t>Palm Springs, CA</t>
  </si>
  <si>
    <t>TXP DC012806</t>
  </si>
  <si>
    <t>TXP DC 092906</t>
  </si>
  <si>
    <t>TRIBAL CONSULTATION AND NATIVE AMERICAN CONFERENCE</t>
  </si>
  <si>
    <t>LEADERSHIP INSTITUTE AND BOARD MEETING</t>
  </si>
  <si>
    <t>NATIONAL INDIAN HEAD START DIRECTORS ASSOCIATION 15TH ANNUAL TRAINING CONFERENCE</t>
  </si>
  <si>
    <t>CHEROKEE'S NEW MEXICO ANNUAL TRADITIONAL DINNER AND MEETING</t>
  </si>
  <si>
    <t>5 TRIBES INTER TRIBAL MEETING</t>
  </si>
  <si>
    <t>TXP CA 120605</t>
  </si>
  <si>
    <t>TRV DC 61706</t>
  </si>
  <si>
    <t>TXP TN 110405</t>
  </si>
  <si>
    <t>10TH ANNUAL TRAIL OF TEARS ASSOCIATION CONFERENCE AND SYMPOSIUM</t>
  </si>
  <si>
    <t>Chatanooga, TN</t>
  </si>
  <si>
    <t>TXP NC 061806</t>
  </si>
  <si>
    <t>TXP CATOOSA 11306</t>
  </si>
  <si>
    <t>TXPIM 062106</t>
  </si>
  <si>
    <t xml:space="preserve">Catoosa, OK </t>
  </si>
  <si>
    <t>Las Vegas, NV</t>
  </si>
  <si>
    <t>ROBERT RULES OF ORDER TRAINING</t>
  </si>
  <si>
    <t>NCAI EXECUTIVE COUNCIL WINTER SESSION</t>
  </si>
  <si>
    <t>TXP-NV 91405</t>
  </si>
  <si>
    <t>TXP NM 112005</t>
  </si>
  <si>
    <t>TXP DC 42606</t>
  </si>
  <si>
    <t>TRV WASH DC 22606</t>
  </si>
  <si>
    <t>TXP-DC 030306</t>
  </si>
  <si>
    <t>NO TRAVEL IN FY06</t>
  </si>
  <si>
    <t>TRV 0KC 100505</t>
  </si>
  <si>
    <t>TXP DURANT 11806</t>
  </si>
  <si>
    <t>TRV MW CITY 041806</t>
  </si>
  <si>
    <t>TRV DC 042406</t>
  </si>
  <si>
    <t>2005 NJOMA CONFERENCE</t>
  </si>
  <si>
    <t>57TH CHOCTAW INDIAN FAIR</t>
  </si>
  <si>
    <t>Memphis, TN</t>
  </si>
  <si>
    <t>TXP CA 120705</t>
  </si>
  <si>
    <t>TXP TN 61206</t>
  </si>
  <si>
    <t>TXP MS 71606</t>
  </si>
  <si>
    <t>TRV WASHDC 21206</t>
  </si>
  <si>
    <t>OK &amp; CA</t>
  </si>
  <si>
    <t>Ft. Smith, AR</t>
  </si>
  <si>
    <t>Riverside, CA 02/12/06</t>
  </si>
  <si>
    <t>OKC, OK/ Washington DC</t>
  </si>
  <si>
    <t>Los Angeles, CA</t>
  </si>
  <si>
    <t>Eugene, Oregon</t>
  </si>
  <si>
    <t>Cherokee, NC</t>
  </si>
  <si>
    <t>Washington, DC/BAKERSFIELD, CA</t>
  </si>
  <si>
    <t>Chicago, IL</t>
  </si>
  <si>
    <t>Portland, OR/DC</t>
  </si>
  <si>
    <t>Catoosa, OK</t>
  </si>
  <si>
    <t>SOUTHWEST TOWNSHIP ANNUAL THANKSGIVING COMMUNITY MEETING</t>
  </si>
  <si>
    <t>CHEROKEE YOUTH CHOIR AT CATHEDRAL  WITH DC REPRESENTATIVE</t>
  </si>
  <si>
    <t>CHEROKEE HISTORY COURSE AND COMMUNITY MEETING</t>
  </si>
  <si>
    <t>NATIONAL PARK SUBCOMMITTEE TESTIFY/MEETING WITH DC REPRESENTATIVES</t>
  </si>
  <si>
    <t>PROVENTIAL INSURANCE MEETING</t>
  </si>
  <si>
    <t>STEWARTSHIP COUNCIL MEETING AND JOHN LANDAS</t>
  </si>
  <si>
    <t>HUD MEETING AND DC REPRESENTATIVES</t>
  </si>
  <si>
    <t>OKLAHOMA ACADEMY INFORMATIN FORUM (OU SYMPOSIUM ON AMERICAN INDIANS)</t>
  </si>
  <si>
    <t>RECEPTION SPEAKER FOR RENNARD STRICKLEN</t>
  </si>
  <si>
    <t>TESTIMONY FOR TRAIL OF TEARS BILL &amp; MEET COBURN&amp;CLIPPER GROUP&amp;JOHN LANDAS</t>
  </si>
  <si>
    <t>NCORE 2006 CONFERENCE&amp; SOVEREIGNTY SYMPOSIUM</t>
  </si>
  <si>
    <t>CHEROKEE NATION HISTORY COURSE DC MEETING WITH HUD</t>
  </si>
  <si>
    <t>MISC MEETINGS/RIBBON CUTTING</t>
  </si>
  <si>
    <t>UNLV CLASSES/DWIGHT MISSION VISIT</t>
  </si>
  <si>
    <t>TXP OK 121505</t>
  </si>
  <si>
    <t>TXP OK 120605</t>
  </si>
  <si>
    <t>TXP OK 110205</t>
  </si>
  <si>
    <t>TXP OK/CA 100805</t>
  </si>
  <si>
    <t>TXP OK 102305</t>
  </si>
  <si>
    <t>TXP OK 102205</t>
  </si>
  <si>
    <t>TXP OK 111705</t>
  </si>
  <si>
    <t>TXP NM/CA 110705</t>
  </si>
  <si>
    <t>TPX OK042106</t>
  </si>
  <si>
    <t>TXP AR 011006</t>
  </si>
  <si>
    <t>TXP CA 021306</t>
  </si>
  <si>
    <t>TXP DC 012406</t>
  </si>
  <si>
    <t>TXP DC040406</t>
  </si>
  <si>
    <t>TXP DC72906</t>
  </si>
  <si>
    <t>TXP DC91406</t>
  </si>
  <si>
    <t>TXP DCCA050106A</t>
  </si>
  <si>
    <t>TXP ILL OKC 53006</t>
  </si>
  <si>
    <t>TXP OK 012006</t>
  </si>
  <si>
    <t>TXP OK020706</t>
  </si>
  <si>
    <t>TXP OK022706</t>
  </si>
  <si>
    <t>TXP OK090106</t>
  </si>
  <si>
    <t>TXP OK092606</t>
  </si>
  <si>
    <t>TXP OK092806</t>
  </si>
  <si>
    <t>TXP OKC 32206</t>
  </si>
  <si>
    <t>TXP OKC 51206</t>
  </si>
  <si>
    <t>TXP OR041506</t>
  </si>
  <si>
    <t>TXP ORDC62706</t>
  </si>
  <si>
    <t>TXPNC/NM42306</t>
  </si>
  <si>
    <t>TXP CA 33006</t>
  </si>
  <si>
    <t>TXP OKDC021706</t>
  </si>
  <si>
    <t>TXP OKC041206</t>
  </si>
  <si>
    <t>TXP OKC 080906</t>
  </si>
  <si>
    <t>SOVEREIGNTY SYMPOSIUM 2006</t>
  </si>
  <si>
    <t>CADCA NATIONAL LEADERSHIP FORUM</t>
  </si>
  <si>
    <t>TRV-DC 042406</t>
  </si>
  <si>
    <t>check amt</t>
  </si>
  <si>
    <t>Check #</t>
  </si>
  <si>
    <t>NCAI CONFERENCE</t>
  </si>
  <si>
    <t>National Diabetes Conference</t>
  </si>
  <si>
    <t>Check Amt</t>
  </si>
  <si>
    <t>Buel Anglen</t>
  </si>
  <si>
    <t xml:space="preserve">Check </t>
  </si>
  <si>
    <t>Durant, Oklahoma</t>
  </si>
  <si>
    <t>Five Trives Inter Tribal Qrtly Meeting</t>
  </si>
  <si>
    <t>Midwest City, Oklahoma</t>
  </si>
  <si>
    <t>Saulte Ste. Marie, Michigan</t>
  </si>
  <si>
    <t>National Congress of American Indians Mid Year Conference</t>
  </si>
  <si>
    <t>OKLAHOMA ACADEMY TOWN HALL DINNER &amp; ORIENTATION</t>
  </si>
  <si>
    <t>MEETING W/GOV HENRY-TOBACCO COMPACT</t>
  </si>
  <si>
    <t>DINNER MTG W/DAVE TIPPECONNIC,CNB MTG, JIMMY MCCOY'S SERVICES,REPUBLICAN LEADERSHIP MEETING</t>
  </si>
  <si>
    <t>STATE CHAMBER ANNUAL MEETING</t>
  </si>
  <si>
    <t>CNE CHRISTMAS PARTY &amp; SPEAK AT OK ASSOCIATION OF TEACHERS</t>
  </si>
  <si>
    <t>FIVE TRIBES INTER-TRIBAL COUNCIL MEETING</t>
  </si>
  <si>
    <t>MEETING W/GOV HENRY-TOBACCO COMPACT &amp; LEGISLATAIVE OPENING DAY</t>
  </si>
  <si>
    <t>MEETNGS W/SEN MORGAN, REP RON PETERSON &amp; BIA</t>
  </si>
  <si>
    <t>OPENING DAY EMISSARIES OF PEACE &amp; COMMUNITY MEETING</t>
  </si>
  <si>
    <t>MEETING AT STATE CAPITOL -TOBACCO COMPACT</t>
  </si>
  <si>
    <t>MEETING W/WASHINGTON REPS &amp; THE NATIONAL PARK SERVICE</t>
  </si>
  <si>
    <t>MEET WITH MR CABREAR - HUD OFFICIAL</t>
  </si>
  <si>
    <t>MEETINGS W/DC REPRESENTATIVES</t>
  </si>
  <si>
    <t>John Keener</t>
  </si>
  <si>
    <t>Salina, OK</t>
  </si>
  <si>
    <t>TRVNM 71706</t>
  </si>
  <si>
    <t>NAHASDA  &amp; Self Determination</t>
  </si>
  <si>
    <t>Saulte Ste. Marie, MI</t>
  </si>
  <si>
    <t>TXP DC 51906</t>
  </si>
  <si>
    <t>DHHS CONSULTATION RESEARCH ADVISORY COUNCIL MEETING</t>
  </si>
  <si>
    <t>DINNER WITH CHAIRMAN HOGAN(NIGC) RE: CN GAMING &amp; MEET WITH SENATOR COBURN RE: CONSTITUTION REVISIONS</t>
  </si>
  <si>
    <t>TOTAL as of Sept. 30, 2006</t>
  </si>
  <si>
    <t>E</t>
  </si>
  <si>
    <t>B</t>
  </si>
  <si>
    <t>C</t>
  </si>
  <si>
    <t>D</t>
  </si>
  <si>
    <t>F</t>
  </si>
  <si>
    <t>G</t>
  </si>
  <si>
    <t>H</t>
  </si>
  <si>
    <t>A</t>
  </si>
  <si>
    <t>M</t>
  </si>
  <si>
    <t>K</t>
  </si>
  <si>
    <t>J</t>
  </si>
  <si>
    <t>L</t>
  </si>
  <si>
    <t>N</t>
  </si>
  <si>
    <t>T</t>
  </si>
  <si>
    <t>Q</t>
  </si>
  <si>
    <t>I</t>
  </si>
  <si>
    <t>O</t>
  </si>
  <si>
    <t>P</t>
  </si>
  <si>
    <t>S</t>
  </si>
  <si>
    <t>V</t>
  </si>
  <si>
    <t>X</t>
  </si>
  <si>
    <t>TXP OK041206</t>
  </si>
  <si>
    <t>SPEAK OU NATIVE LAW SYMPOSIUM &amp; OU POLITICS EDUCATION COURSE</t>
  </si>
  <si>
    <t>RR</t>
  </si>
  <si>
    <t>W</t>
  </si>
  <si>
    <t>Y</t>
  </si>
  <si>
    <t>U</t>
  </si>
  <si>
    <t>RRR</t>
  </si>
  <si>
    <t>UU</t>
  </si>
  <si>
    <t>Z</t>
  </si>
  <si>
    <t>ZZ</t>
  </si>
  <si>
    <t>h</t>
  </si>
  <si>
    <t>f</t>
  </si>
  <si>
    <t>c</t>
  </si>
  <si>
    <t>i</t>
  </si>
  <si>
    <t>JOM YOUTH LEADERSHIP "RETRACING CHEROKEE FOOTSTEPS"</t>
  </si>
  <si>
    <t>TRV MS102105</t>
  </si>
  <si>
    <t>NATIONAL AMERICAN INDIAN HOUSING COUNCIL 32ND ANNIVESARY CONVENTION AND TRADE SHOW</t>
  </si>
  <si>
    <t>NATIONAL CONGRESS OF AMERICAN INDIANS 63 ANNUAL CONVENTION</t>
  </si>
  <si>
    <t>Thackerville, Oklahoma</t>
  </si>
  <si>
    <t>Five Civilized Tribes Qrtly Meeting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</si>
</sst>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[Red]\(0.00\)"/>
    <numFmt numFmtId="166" formatCode="[$-409]dddd\,\ mmmm\ dd\,\ yyyy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m/d/yyyy;@"/>
    <numFmt numFmtId="171" formatCode="mm/dd/yy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Continuous"/>
    </xf>
    <xf numFmtId="40" fontId="0" fillId="0" borderId="0" xfId="0" applyNumberFormat="1" applyFont="1" applyAlignment="1">
      <alignment horizontal="right"/>
    </xf>
    <xf numFmtId="40" fontId="0" fillId="0" borderId="0" xfId="0" applyNumberFormat="1" applyFont="1" applyBorder="1" applyAlignment="1">
      <alignment horizontal="right"/>
    </xf>
    <xf numFmtId="40" fontId="0" fillId="0" borderId="18" xfId="0" applyNumberFormat="1" applyFont="1" applyBorder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/>
    </xf>
    <xf numFmtId="40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40" fontId="0" fillId="0" borderId="0" xfId="0" applyNumberFormat="1" applyFont="1" applyFill="1" applyBorder="1" applyAlignment="1">
      <alignment horizontal="right"/>
    </xf>
    <xf numFmtId="40" fontId="0" fillId="0" borderId="1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0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40" fontId="0" fillId="0" borderId="18" xfId="0" applyNumberFormat="1" applyFont="1" applyBorder="1" applyAlignment="1">
      <alignment horizontal="center"/>
    </xf>
    <xf numFmtId="40" fontId="0" fillId="0" borderId="18" xfId="0" applyNumberFormat="1" applyFont="1" applyBorder="1" applyAlignment="1">
      <alignment horizontal="centerContinuous"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3" fontId="0" fillId="0" borderId="0" xfId="42" applyFont="1" applyFill="1" applyBorder="1" applyAlignment="1">
      <alignment horizontal="right"/>
    </xf>
    <xf numFmtId="40" fontId="0" fillId="0" borderId="18" xfId="42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0" fontId="0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0" fontId="0" fillId="0" borderId="0" xfId="42" applyNumberFormat="1" applyFont="1" applyFill="1" applyBorder="1" applyAlignment="1">
      <alignment horizontal="center"/>
    </xf>
    <xf numFmtId="40" fontId="0" fillId="0" borderId="0" xfId="42" applyNumberFormat="1" applyFont="1" applyFill="1" applyBorder="1" applyAlignment="1">
      <alignment horizontal="centerContinuous"/>
    </xf>
    <xf numFmtId="40" fontId="0" fillId="0" borderId="18" xfId="42" applyNumberFormat="1" applyFont="1" applyFill="1" applyBorder="1" applyAlignment="1">
      <alignment horizontal="centerContinuous"/>
    </xf>
    <xf numFmtId="40" fontId="0" fillId="0" borderId="0" xfId="42" applyNumberFormat="1" applyFont="1" applyFill="1" applyAlignment="1">
      <alignment horizontal="right"/>
    </xf>
    <xf numFmtId="40" fontId="0" fillId="0" borderId="0" xfId="0" applyNumberFormat="1" applyFont="1" applyFill="1" applyAlignment="1">
      <alignment/>
    </xf>
    <xf numFmtId="43" fontId="0" fillId="0" borderId="0" xfId="42" applyFont="1" applyAlignment="1">
      <alignment/>
    </xf>
    <xf numFmtId="0" fontId="0" fillId="0" borderId="0" xfId="42" applyNumberFormat="1" applyFont="1" applyAlignment="1">
      <alignment/>
    </xf>
    <xf numFmtId="0" fontId="0" fillId="0" borderId="0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horizontal="left"/>
    </xf>
    <xf numFmtId="171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4" fontId="0" fillId="0" borderId="0" xfId="44" applyFont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0" fillId="0" borderId="18" xfId="42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44" fontId="0" fillId="0" borderId="0" xfId="44" applyFont="1" applyFill="1" applyAlignment="1">
      <alignment horizontal="right"/>
    </xf>
    <xf numFmtId="40" fontId="0" fillId="0" borderId="17" xfId="0" applyNumberFormat="1" applyFont="1" applyFill="1" applyBorder="1" applyAlignment="1">
      <alignment horizontal="right"/>
    </xf>
    <xf numFmtId="14" fontId="0" fillId="0" borderId="0" xfId="0" applyNumberFormat="1" applyFill="1" applyAlignment="1">
      <alignment/>
    </xf>
    <xf numFmtId="43" fontId="0" fillId="0" borderId="0" xfId="42" applyFont="1" applyFill="1" applyBorder="1" applyAlignment="1">
      <alignment/>
    </xf>
    <xf numFmtId="43" fontId="0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1.28125" style="0" customWidth="1"/>
    <col min="2" max="2" width="11.57421875" style="0" bestFit="1" customWidth="1"/>
    <col min="3" max="4" width="11.28125" style="0" bestFit="1" customWidth="1"/>
    <col min="5" max="5" width="22.8515625" style="0" bestFit="1" customWidth="1"/>
    <col min="6" max="6" width="38.57421875" style="0" bestFit="1" customWidth="1"/>
    <col min="7" max="7" width="10.28125" style="0" bestFit="1" customWidth="1"/>
    <col min="8" max="8" width="7.00390625" style="0" bestFit="1" customWidth="1"/>
    <col min="9" max="9" width="10.421875" style="0" bestFit="1" customWidth="1"/>
    <col min="10" max="10" width="9.8515625" style="0" bestFit="1" customWidth="1"/>
    <col min="11" max="11" width="10.140625" style="0" bestFit="1" customWidth="1"/>
    <col min="12" max="12" width="10.421875" style="0" bestFit="1" customWidth="1"/>
  </cols>
  <sheetData>
    <row r="1" spans="1:6" s="2" customFormat="1" ht="12.75" customHeight="1">
      <c r="A1" s="1" t="s">
        <v>218</v>
      </c>
      <c r="E1" s="3"/>
      <c r="F1" s="3"/>
    </row>
    <row r="2" spans="1:6" s="2" customFormat="1" ht="12.75" customHeight="1">
      <c r="A2" s="2" t="s">
        <v>0</v>
      </c>
      <c r="E2" s="3"/>
      <c r="F2" s="3"/>
    </row>
    <row r="3" spans="1:6" s="2" customFormat="1" ht="12.75" customHeight="1">
      <c r="A3" s="2" t="s">
        <v>1</v>
      </c>
      <c r="E3" s="3"/>
      <c r="F3" s="3"/>
    </row>
    <row r="4" spans="1:6" s="2" customFormat="1" ht="12.75" customHeight="1">
      <c r="A4" s="2" t="s">
        <v>17</v>
      </c>
      <c r="E4" s="3"/>
      <c r="F4" s="3"/>
    </row>
    <row r="5" spans="5:6" s="2" customFormat="1" ht="12.75" customHeight="1">
      <c r="E5" s="3"/>
      <c r="F5" s="3"/>
    </row>
    <row r="6" spans="5:6" s="2" customFormat="1" ht="12.75" customHeight="1" thickBot="1">
      <c r="E6" s="3"/>
      <c r="F6" s="3"/>
    </row>
    <row r="7" spans="1:12" s="2" customFormat="1" ht="12.75" customHeight="1">
      <c r="A7" s="4" t="s">
        <v>219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s="2" customFormat="1" ht="12.75" customHeight="1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s="42" customFormat="1" ht="12.75" customHeight="1">
      <c r="A9" s="31">
        <v>41329</v>
      </c>
      <c r="B9" s="30">
        <v>38623</v>
      </c>
      <c r="C9" s="30">
        <v>38630</v>
      </c>
      <c r="D9" s="30">
        <v>38632</v>
      </c>
      <c r="E9" s="31" t="s">
        <v>286</v>
      </c>
      <c r="F9" s="31" t="s">
        <v>287</v>
      </c>
      <c r="G9" s="116">
        <v>243.08</v>
      </c>
      <c r="H9" s="116"/>
      <c r="I9" s="116">
        <v>120</v>
      </c>
      <c r="J9" s="116">
        <v>77.5</v>
      </c>
      <c r="K9" s="116"/>
      <c r="L9" s="117">
        <f>SUM(G9:K9)</f>
        <v>440.58000000000004</v>
      </c>
    </row>
    <row r="10" spans="1:12" s="3" customFormat="1" ht="12.75" customHeight="1">
      <c r="A10" s="3">
        <v>53826</v>
      </c>
      <c r="B10" s="18">
        <v>38735</v>
      </c>
      <c r="C10" s="18">
        <v>38736</v>
      </c>
      <c r="D10" s="18">
        <v>38737</v>
      </c>
      <c r="E10" s="3" t="s">
        <v>220</v>
      </c>
      <c r="F10" s="3" t="s">
        <v>221</v>
      </c>
      <c r="G10" s="110">
        <v>243.08</v>
      </c>
      <c r="H10" s="110">
        <v>0</v>
      </c>
      <c r="I10" s="110">
        <v>58.59</v>
      </c>
      <c r="J10" s="110">
        <v>58.5</v>
      </c>
      <c r="K10" s="110">
        <v>0</v>
      </c>
      <c r="L10" s="110">
        <f>SUM(G10:K10)</f>
        <v>360.17</v>
      </c>
    </row>
    <row r="11" spans="1:12" s="3" customFormat="1" ht="12.75" customHeight="1">
      <c r="A11" s="3">
        <v>64583</v>
      </c>
      <c r="B11" s="18">
        <v>38820</v>
      </c>
      <c r="C11" s="18">
        <v>38827</v>
      </c>
      <c r="D11" s="18">
        <v>38828</v>
      </c>
      <c r="E11" s="3" t="s">
        <v>222</v>
      </c>
      <c r="F11" s="3" t="s">
        <v>221</v>
      </c>
      <c r="G11" s="110">
        <v>116.3</v>
      </c>
      <c r="H11" s="110"/>
      <c r="I11" s="110">
        <v>86.86</v>
      </c>
      <c r="J11" s="110">
        <v>73.5</v>
      </c>
      <c r="K11" s="110"/>
      <c r="L11" s="110">
        <f>SUM(G11:K11)</f>
        <v>276.65999999999997</v>
      </c>
    </row>
    <row r="12" spans="1:12" s="3" customFormat="1" ht="25.5" customHeight="1">
      <c r="A12" s="3">
        <v>71140</v>
      </c>
      <c r="B12" s="18">
        <v>38882</v>
      </c>
      <c r="C12" s="18">
        <v>38885</v>
      </c>
      <c r="D12" s="18">
        <v>38890</v>
      </c>
      <c r="E12" s="3" t="s">
        <v>223</v>
      </c>
      <c r="F12" s="97" t="s">
        <v>224</v>
      </c>
      <c r="G12" s="111">
        <v>1024.58</v>
      </c>
      <c r="H12" s="111"/>
      <c r="I12" s="111">
        <v>378.28</v>
      </c>
      <c r="J12" s="111">
        <v>214.5</v>
      </c>
      <c r="K12" s="111"/>
      <c r="L12" s="111">
        <f>SUM(G12:K12)</f>
        <v>1617.36</v>
      </c>
    </row>
    <row r="13" spans="7:12" s="3" customFormat="1" ht="12.75" customHeight="1">
      <c r="G13" s="112"/>
      <c r="H13" s="112"/>
      <c r="I13" s="112"/>
      <c r="J13" s="112"/>
      <c r="K13" s="112"/>
      <c r="L13" s="112"/>
    </row>
    <row r="14" spans="6:12" s="3" customFormat="1" ht="12.75" customHeight="1">
      <c r="F14" s="19" t="s">
        <v>246</v>
      </c>
      <c r="G14" s="112">
        <f aca="true" t="shared" si="0" ref="G14:L14">SUM(G9:G13)</f>
        <v>1627.04</v>
      </c>
      <c r="H14" s="112">
        <f t="shared" si="0"/>
        <v>0</v>
      </c>
      <c r="I14" s="112">
        <f t="shared" si="0"/>
        <v>643.73</v>
      </c>
      <c r="J14" s="112">
        <f t="shared" si="0"/>
        <v>424</v>
      </c>
      <c r="K14" s="112">
        <f t="shared" si="0"/>
        <v>0</v>
      </c>
      <c r="L14" s="112">
        <f t="shared" si="0"/>
        <v>2694.7699999999995</v>
      </c>
    </row>
    <row r="15" spans="5:6" s="2" customFormat="1" ht="12.75" customHeight="1">
      <c r="E15" s="3"/>
      <c r="F15" s="3"/>
    </row>
    <row r="16" spans="5:6" s="2" customFormat="1" ht="12.75" customHeight="1">
      <c r="E16" s="3"/>
      <c r="F16" s="3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4" width="10.140625" style="0" bestFit="1" customWidth="1"/>
    <col min="5" max="5" width="15.421875" style="0" bestFit="1" customWidth="1"/>
    <col min="6" max="6" width="37.28125" style="0" bestFit="1" customWidth="1"/>
    <col min="7" max="7" width="7.57421875" style="0" bestFit="1" customWidth="1"/>
    <col min="8" max="8" width="6.28125" style="0" bestFit="1" customWidth="1"/>
    <col min="9" max="9" width="7.57421875" style="0" bestFit="1" customWidth="1"/>
    <col min="10" max="10" width="8.7109375" style="0" bestFit="1" customWidth="1"/>
    <col min="11" max="11" width="5.57421875" style="0" bestFit="1" customWidth="1"/>
    <col min="12" max="12" width="7.57421875" style="0" bestFit="1" customWidth="1"/>
  </cols>
  <sheetData>
    <row r="1" spans="1:12" ht="12.75">
      <c r="A1" s="1" t="s">
        <v>238</v>
      </c>
      <c r="B1" s="2"/>
      <c r="C1" s="2"/>
      <c r="D1" s="2"/>
      <c r="E1" s="3"/>
      <c r="F1" s="19" t="s">
        <v>49</v>
      </c>
      <c r="G1" s="2"/>
      <c r="H1" s="2"/>
      <c r="I1" s="2"/>
      <c r="J1" s="2"/>
      <c r="K1" s="2"/>
      <c r="L1" s="2"/>
    </row>
    <row r="2" spans="1:12" ht="12.75">
      <c r="A2" s="2" t="s">
        <v>239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18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ht="12.75">
      <c r="A9" s="26"/>
      <c r="B9" s="27"/>
      <c r="C9" s="28"/>
      <c r="D9" s="28"/>
      <c r="E9" s="29"/>
      <c r="F9" s="60" t="s">
        <v>141</v>
      </c>
      <c r="G9" s="40"/>
      <c r="H9" s="40"/>
      <c r="I9" s="40"/>
      <c r="J9" s="40"/>
      <c r="K9" s="40"/>
      <c r="L9" s="24">
        <f>SUM(G9:K9)</f>
        <v>0</v>
      </c>
    </row>
    <row r="10" spans="1:12" ht="12.75">
      <c r="A10" s="26"/>
      <c r="B10" s="30"/>
      <c r="C10" s="30"/>
      <c r="D10" s="30"/>
      <c r="E10" s="31"/>
      <c r="F10" s="31"/>
      <c r="G10" s="41"/>
      <c r="H10" s="41"/>
      <c r="I10" s="41"/>
      <c r="J10" s="41"/>
      <c r="K10" s="41"/>
      <c r="L10" s="25"/>
    </row>
    <row r="11" spans="1:12" ht="12.75">
      <c r="A11" s="2"/>
      <c r="B11" s="2"/>
      <c r="C11" s="2"/>
      <c r="D11" s="2"/>
      <c r="E11" s="3"/>
      <c r="F11" s="3"/>
      <c r="G11" s="23"/>
      <c r="H11" s="23"/>
      <c r="I11" s="23"/>
      <c r="J11" s="23"/>
      <c r="K11" s="23"/>
      <c r="L11" s="23"/>
    </row>
    <row r="12" spans="1:12" ht="12.75">
      <c r="A12" s="2"/>
      <c r="B12" s="2"/>
      <c r="C12" s="2"/>
      <c r="D12" s="2"/>
      <c r="E12" s="3"/>
      <c r="F12" s="19" t="s">
        <v>22</v>
      </c>
      <c r="G12" s="23">
        <f aca="true" t="shared" si="0" ref="G12:L12">SUM(G9:G11)</f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</row>
    <row r="13" spans="1:12" ht="12.75">
      <c r="A13" s="2"/>
      <c r="B13" s="2"/>
      <c r="C13" s="2"/>
      <c r="D13" s="2"/>
      <c r="E13" s="3"/>
      <c r="F13" s="3"/>
      <c r="G13" s="2"/>
      <c r="H13" s="2"/>
      <c r="I13" s="2"/>
      <c r="J13" s="2"/>
      <c r="K13" s="2"/>
      <c r="L13" s="2"/>
    </row>
    <row r="14" spans="1:16" ht="12.75">
      <c r="A14" s="42"/>
      <c r="B14" s="42"/>
      <c r="C14" s="42"/>
      <c r="D14" s="42"/>
      <c r="E14" s="31"/>
      <c r="F14" s="44"/>
      <c r="G14" s="43"/>
      <c r="H14" s="43"/>
      <c r="I14" s="43"/>
      <c r="J14" s="43"/>
      <c r="K14" s="43"/>
      <c r="L14" s="43"/>
      <c r="M14" s="26"/>
      <c r="N14" s="26"/>
      <c r="O14" s="26"/>
      <c r="P14" s="26"/>
    </row>
    <row r="15" spans="1:16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9.7109375" style="0" bestFit="1" customWidth="1"/>
    <col min="2" max="2" width="11.28125" style="0" bestFit="1" customWidth="1"/>
    <col min="3" max="3" width="11.8515625" style="0" bestFit="1" customWidth="1"/>
    <col min="4" max="4" width="10.8515625" style="0" bestFit="1" customWidth="1"/>
    <col min="5" max="5" width="17.8515625" style="0" bestFit="1" customWidth="1"/>
    <col min="6" max="6" width="41.7109375" style="0" customWidth="1"/>
    <col min="7" max="7" width="10.421875" style="0" bestFit="1" customWidth="1"/>
    <col min="8" max="8" width="11.140625" style="0" bestFit="1" customWidth="1"/>
    <col min="9" max="9" width="10.140625" style="0" bestFit="1" customWidth="1"/>
    <col min="10" max="10" width="9.8515625" style="0" bestFit="1" customWidth="1"/>
    <col min="11" max="11" width="9.421875" style="0" bestFit="1" customWidth="1"/>
    <col min="12" max="12" width="11.28125" style="0" bestFit="1" customWidth="1"/>
  </cols>
  <sheetData>
    <row r="1" spans="1:12" ht="12.75">
      <c r="A1" s="1" t="s">
        <v>56</v>
      </c>
      <c r="B1" s="2"/>
      <c r="C1" s="2">
        <v>2079</v>
      </c>
      <c r="D1" s="2"/>
      <c r="E1" s="3"/>
      <c r="F1" s="19" t="s">
        <v>57</v>
      </c>
      <c r="G1" s="2"/>
      <c r="H1" s="2"/>
      <c r="I1" s="2"/>
      <c r="J1" s="2"/>
      <c r="K1" s="2"/>
      <c r="L1" s="2"/>
    </row>
    <row r="2" spans="1:12" ht="12.75">
      <c r="A2" s="2" t="s">
        <v>32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18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ht="25.5">
      <c r="A9" t="s">
        <v>130</v>
      </c>
      <c r="B9" s="27">
        <v>38749</v>
      </c>
      <c r="C9" s="28">
        <v>38655</v>
      </c>
      <c r="D9" s="28">
        <v>38659</v>
      </c>
      <c r="E9" s="29" t="s">
        <v>132</v>
      </c>
      <c r="F9" s="56" t="s">
        <v>102</v>
      </c>
      <c r="G9" s="40">
        <v>92.62</v>
      </c>
      <c r="H9" s="40">
        <v>0</v>
      </c>
      <c r="I9" s="40">
        <v>271.36</v>
      </c>
      <c r="J9" s="40">
        <v>198</v>
      </c>
      <c r="K9" s="40">
        <v>0</v>
      </c>
      <c r="L9" s="24">
        <f>SUM(G9:K9)</f>
        <v>561.98</v>
      </c>
    </row>
    <row r="10" spans="1:12" ht="12.75">
      <c r="A10" t="s">
        <v>131</v>
      </c>
      <c r="B10" s="30">
        <v>38959</v>
      </c>
      <c r="C10" s="30">
        <v>38885</v>
      </c>
      <c r="D10" s="30">
        <v>38889</v>
      </c>
      <c r="E10" s="31" t="s">
        <v>30</v>
      </c>
      <c r="F10" s="20" t="s">
        <v>80</v>
      </c>
      <c r="G10" s="41">
        <f>79.52+70.25</f>
        <v>149.76999999999998</v>
      </c>
      <c r="H10" s="41">
        <v>1013.2</v>
      </c>
      <c r="I10" s="41">
        <v>318.28</v>
      </c>
      <c r="J10" s="41">
        <v>175.5</v>
      </c>
      <c r="K10" s="41">
        <v>0</v>
      </c>
      <c r="L10" s="25">
        <f>SUM(G10:K10)</f>
        <v>1656.75</v>
      </c>
    </row>
    <row r="11" spans="1:12" ht="12.75">
      <c r="A11" s="2"/>
      <c r="B11" s="2"/>
      <c r="C11" s="2"/>
      <c r="D11" s="2"/>
      <c r="E11" s="3"/>
      <c r="F11" s="3"/>
      <c r="G11" s="23"/>
      <c r="H11" s="23"/>
      <c r="I11" s="23"/>
      <c r="J11" s="23"/>
      <c r="K11" s="23"/>
      <c r="L11" s="23"/>
    </row>
    <row r="12" spans="1:12" ht="12.75">
      <c r="A12" s="2"/>
      <c r="B12" s="2"/>
      <c r="C12" s="2"/>
      <c r="D12" s="2"/>
      <c r="E12" s="3"/>
      <c r="F12" s="19" t="s">
        <v>22</v>
      </c>
      <c r="G12" s="105">
        <f aca="true" t="shared" si="0" ref="G12:L12">SUM(G9:G10)</f>
        <v>242.39</v>
      </c>
      <c r="H12" s="105">
        <f t="shared" si="0"/>
        <v>1013.2</v>
      </c>
      <c r="I12" s="105">
        <f t="shared" si="0"/>
        <v>589.64</v>
      </c>
      <c r="J12" s="105">
        <f t="shared" si="0"/>
        <v>373.5</v>
      </c>
      <c r="K12" s="105">
        <f t="shared" si="0"/>
        <v>0</v>
      </c>
      <c r="L12" s="105">
        <f t="shared" si="0"/>
        <v>2218.73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="90" zoomScaleNormal="90" zoomScalePageLayoutView="0" workbookViewId="0" topLeftCell="A1">
      <selection activeCell="I14" sqref="I14"/>
    </sheetView>
  </sheetViews>
  <sheetFormatPr defaultColWidth="9.140625" defaultRowHeight="12.75"/>
  <cols>
    <col min="1" max="1" width="21.421875" style="0" bestFit="1" customWidth="1"/>
    <col min="2" max="2" width="9.8515625" style="0" bestFit="1" customWidth="1"/>
    <col min="3" max="4" width="11.00390625" style="0" bestFit="1" customWidth="1"/>
    <col min="5" max="5" width="16.00390625" style="0" bestFit="1" customWidth="1"/>
    <col min="6" max="6" width="43.28125" style="0" customWidth="1"/>
    <col min="7" max="9" width="11.140625" style="0" bestFit="1" customWidth="1"/>
    <col min="10" max="10" width="9.57421875" style="0" bestFit="1" customWidth="1"/>
    <col min="11" max="11" width="9.28125" style="0" bestFit="1" customWidth="1"/>
    <col min="12" max="12" width="11.140625" style="0" bestFit="1" customWidth="1"/>
  </cols>
  <sheetData>
    <row r="1" spans="1:12" ht="12.75">
      <c r="A1" s="1" t="s">
        <v>55</v>
      </c>
      <c r="B1" s="2"/>
      <c r="C1" s="2">
        <v>13664</v>
      </c>
      <c r="D1" s="2"/>
      <c r="E1" s="3"/>
      <c r="F1" s="19" t="s">
        <v>50</v>
      </c>
      <c r="G1" s="2"/>
      <c r="H1" s="2"/>
      <c r="I1" s="2"/>
      <c r="J1" s="2"/>
      <c r="K1" s="2"/>
      <c r="L1" s="2"/>
    </row>
    <row r="2" spans="1:12" ht="12.75">
      <c r="A2" s="2" t="s">
        <v>54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18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ht="12.75">
      <c r="A9" s="48" t="s">
        <v>136</v>
      </c>
      <c r="B9" s="33">
        <v>38742</v>
      </c>
      <c r="C9" s="22">
        <v>38615</v>
      </c>
      <c r="D9" s="22">
        <v>38984</v>
      </c>
      <c r="E9" s="20" t="s">
        <v>133</v>
      </c>
      <c r="F9" s="21" t="s">
        <v>134</v>
      </c>
      <c r="G9" s="34">
        <f>83.66+74.68+172.4</f>
        <v>330.74</v>
      </c>
      <c r="H9" s="34">
        <v>453.3</v>
      </c>
      <c r="I9" s="35">
        <v>457.8</v>
      </c>
      <c r="J9" s="34">
        <v>193.5</v>
      </c>
      <c r="K9" s="35">
        <v>11</v>
      </c>
      <c r="L9" s="24">
        <f>SUM(G9:K9)</f>
        <v>1446.34</v>
      </c>
    </row>
    <row r="10" spans="1:12" ht="25.5">
      <c r="A10" s="48" t="s">
        <v>137</v>
      </c>
      <c r="B10" s="53">
        <v>38742</v>
      </c>
      <c r="C10" s="22">
        <v>38673</v>
      </c>
      <c r="D10" s="22">
        <v>38676</v>
      </c>
      <c r="E10" s="20" t="s">
        <v>36</v>
      </c>
      <c r="F10" s="21" t="s">
        <v>122</v>
      </c>
      <c r="G10" s="34">
        <v>456.47</v>
      </c>
      <c r="H10" s="34">
        <v>0</v>
      </c>
      <c r="I10" s="35">
        <v>208.62</v>
      </c>
      <c r="J10" s="34">
        <v>146.5</v>
      </c>
      <c r="K10" s="35"/>
      <c r="L10" s="24">
        <f>SUM(G10:K10)</f>
        <v>811.59</v>
      </c>
    </row>
    <row r="11" spans="1:12" ht="12.75">
      <c r="A11" s="32" t="s">
        <v>139</v>
      </c>
      <c r="B11" s="53">
        <v>38742</v>
      </c>
      <c r="C11" s="22">
        <v>38774</v>
      </c>
      <c r="D11" s="22">
        <v>38781</v>
      </c>
      <c r="E11" s="20" t="s">
        <v>34</v>
      </c>
      <c r="F11" s="20" t="s">
        <v>135</v>
      </c>
      <c r="G11" s="68">
        <v>83.66</v>
      </c>
      <c r="H11" s="68">
        <v>432.71</v>
      </c>
      <c r="I11" s="69">
        <v>935</v>
      </c>
      <c r="J11" s="68">
        <v>352</v>
      </c>
      <c r="K11" s="69"/>
      <c r="L11" s="24">
        <f>SUM(G11:K11)</f>
        <v>1803.37</v>
      </c>
    </row>
    <row r="12" spans="1:12" ht="12.75">
      <c r="A12" s="48" t="s">
        <v>138</v>
      </c>
      <c r="B12" s="33">
        <v>38884</v>
      </c>
      <c r="C12" s="28">
        <v>38831</v>
      </c>
      <c r="D12" s="28">
        <v>38833</v>
      </c>
      <c r="E12" s="29" t="s">
        <v>34</v>
      </c>
      <c r="F12" s="29" t="s">
        <v>37</v>
      </c>
      <c r="G12" s="57">
        <f>83.66+28.1+53</f>
        <v>164.76</v>
      </c>
      <c r="H12" s="57">
        <v>335.69</v>
      </c>
      <c r="I12" s="58">
        <v>570.22</v>
      </c>
      <c r="J12" s="57">
        <v>160</v>
      </c>
      <c r="K12" s="58"/>
      <c r="L12" s="25">
        <f>SUM(G12:K12)</f>
        <v>1230.67</v>
      </c>
    </row>
    <row r="13" spans="1:12" ht="12.75">
      <c r="A13" s="2"/>
      <c r="B13" s="2"/>
      <c r="C13" s="2"/>
      <c r="D13" s="2"/>
      <c r="E13" s="3"/>
      <c r="F13" s="3"/>
      <c r="G13" s="23"/>
      <c r="H13" s="23"/>
      <c r="I13" s="23"/>
      <c r="J13" s="23"/>
      <c r="K13" s="23"/>
      <c r="L13" s="23"/>
    </row>
    <row r="14" spans="1:12" ht="12.75">
      <c r="A14" s="2"/>
      <c r="B14" s="2"/>
      <c r="C14" s="2"/>
      <c r="D14" s="2"/>
      <c r="E14" s="3"/>
      <c r="F14" s="19" t="s">
        <v>22</v>
      </c>
      <c r="G14" s="105">
        <f aca="true" t="shared" si="0" ref="G14:L14">SUM(G9:G12)</f>
        <v>1035.63</v>
      </c>
      <c r="H14" s="105">
        <f t="shared" si="0"/>
        <v>1221.7</v>
      </c>
      <c r="I14" s="105">
        <f t="shared" si="0"/>
        <v>2171.6400000000003</v>
      </c>
      <c r="J14" s="105">
        <f t="shared" si="0"/>
        <v>852</v>
      </c>
      <c r="K14" s="105">
        <f t="shared" si="0"/>
        <v>11</v>
      </c>
      <c r="L14" s="105">
        <f t="shared" si="0"/>
        <v>5291.969999999999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13.8515625" style="0" customWidth="1"/>
    <col min="3" max="4" width="10.140625" style="0" bestFit="1" customWidth="1"/>
    <col min="5" max="5" width="16.00390625" style="0" bestFit="1" customWidth="1"/>
    <col min="6" max="6" width="37.57421875" style="0" bestFit="1" customWidth="1"/>
    <col min="7" max="11" width="9.28125" style="0" bestFit="1" customWidth="1"/>
    <col min="12" max="12" width="10.28125" style="0" bestFit="1" customWidth="1"/>
  </cols>
  <sheetData>
    <row r="1" spans="1:12" ht="12.75">
      <c r="A1" s="1" t="s">
        <v>53</v>
      </c>
      <c r="B1" s="2"/>
      <c r="C1" s="2">
        <v>2463</v>
      </c>
      <c r="D1" s="2"/>
      <c r="E1" s="3"/>
      <c r="F1" s="19" t="s">
        <v>50</v>
      </c>
      <c r="G1" s="2"/>
      <c r="H1" s="2"/>
      <c r="I1" s="2"/>
      <c r="J1" s="2"/>
      <c r="K1" s="2"/>
      <c r="L1" s="2"/>
    </row>
    <row r="2" spans="1:12" ht="12.75">
      <c r="A2" s="2" t="s">
        <v>54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18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ht="25.5">
      <c r="A9" t="s">
        <v>140</v>
      </c>
      <c r="B9" s="27">
        <v>38884</v>
      </c>
      <c r="C9" s="28">
        <v>38774</v>
      </c>
      <c r="D9" s="28">
        <v>38779</v>
      </c>
      <c r="E9" s="29" t="s">
        <v>34</v>
      </c>
      <c r="F9" s="21" t="s">
        <v>135</v>
      </c>
      <c r="G9" s="40">
        <v>83.66</v>
      </c>
      <c r="H9" s="59">
        <v>463.4</v>
      </c>
      <c r="I9" s="40"/>
      <c r="J9" s="40">
        <v>352</v>
      </c>
      <c r="K9" s="40"/>
      <c r="L9" s="24">
        <f>SUM(G9:K9)</f>
        <v>899.06</v>
      </c>
    </row>
    <row r="10" spans="1:12" ht="12.75">
      <c r="A10" t="s">
        <v>212</v>
      </c>
      <c r="B10" s="99">
        <v>38828</v>
      </c>
      <c r="C10" s="30">
        <v>38831</v>
      </c>
      <c r="D10" s="30">
        <v>38833</v>
      </c>
      <c r="E10" s="31" t="s">
        <v>34</v>
      </c>
      <c r="F10" s="31" t="s">
        <v>37</v>
      </c>
      <c r="G10" s="41">
        <v>83.66</v>
      </c>
      <c r="H10" s="41">
        <v>335.69</v>
      </c>
      <c r="I10" s="41"/>
      <c r="J10" s="41">
        <v>160</v>
      </c>
      <c r="K10" s="41"/>
      <c r="L10" s="25">
        <f>SUM(G10:K10)</f>
        <v>579.35</v>
      </c>
    </row>
    <row r="11" spans="1:12" ht="12.75">
      <c r="A11" s="2"/>
      <c r="B11" s="2"/>
      <c r="C11" s="2"/>
      <c r="D11" s="2"/>
      <c r="E11" s="3"/>
      <c r="F11" s="3"/>
      <c r="G11" s="23"/>
      <c r="H11" s="23"/>
      <c r="I11" s="23"/>
      <c r="J11" s="23"/>
      <c r="K11" s="23"/>
      <c r="L11" s="23"/>
    </row>
    <row r="12" spans="1:12" ht="12.75">
      <c r="A12" s="2"/>
      <c r="B12" s="2"/>
      <c r="C12" s="2"/>
      <c r="D12" s="2"/>
      <c r="E12" s="3"/>
      <c r="F12" s="19" t="s">
        <v>22</v>
      </c>
      <c r="G12" s="105">
        <f aca="true" t="shared" si="0" ref="G12:L12">SUM(G9:G11)</f>
        <v>167.32</v>
      </c>
      <c r="H12" s="105">
        <f t="shared" si="0"/>
        <v>799.0899999999999</v>
      </c>
      <c r="I12" s="105">
        <f t="shared" si="0"/>
        <v>0</v>
      </c>
      <c r="J12" s="105">
        <f t="shared" si="0"/>
        <v>512</v>
      </c>
      <c r="K12" s="105">
        <f t="shared" si="0"/>
        <v>0</v>
      </c>
      <c r="L12" s="105">
        <f t="shared" si="0"/>
        <v>1478.4099999999999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90" zoomScaleNormal="90" zoomScalePageLayoutView="0" workbookViewId="0" topLeftCell="A1">
      <pane ySplit="8" topLeftCell="A24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8.57421875" style="26" bestFit="1" customWidth="1"/>
    <col min="2" max="2" width="11.140625" style="26" bestFit="1" customWidth="1"/>
    <col min="3" max="4" width="12.00390625" style="26" bestFit="1" customWidth="1"/>
    <col min="5" max="5" width="33.140625" style="26" bestFit="1" customWidth="1"/>
    <col min="6" max="6" width="38.57421875" style="26" bestFit="1" customWidth="1"/>
    <col min="7" max="7" width="11.140625" style="26" bestFit="1" customWidth="1"/>
    <col min="8" max="8" width="10.8515625" style="26" bestFit="1" customWidth="1"/>
    <col min="9" max="9" width="11.140625" style="26" bestFit="1" customWidth="1"/>
    <col min="10" max="11" width="11.57421875" style="26" bestFit="1" customWidth="1"/>
    <col min="12" max="12" width="12.57421875" style="26" bestFit="1" customWidth="1"/>
    <col min="13" max="13" width="9.28125" style="26" hidden="1" customWidth="1"/>
    <col min="14" max="16384" width="9.140625" style="26" customWidth="1"/>
  </cols>
  <sheetData>
    <row r="1" spans="1:12" ht="12.75">
      <c r="A1" s="70" t="s">
        <v>51</v>
      </c>
      <c r="B1" s="42"/>
      <c r="C1" s="42">
        <v>131</v>
      </c>
      <c r="D1" s="42"/>
      <c r="E1" s="31"/>
      <c r="F1" s="44"/>
      <c r="G1" s="42"/>
      <c r="H1" s="42"/>
      <c r="I1" s="42"/>
      <c r="J1" s="42"/>
      <c r="K1" s="42"/>
      <c r="L1" s="42"/>
    </row>
    <row r="2" spans="1:12" ht="12.75">
      <c r="A2" s="42" t="s">
        <v>52</v>
      </c>
      <c r="B2" s="42"/>
      <c r="C2" s="42"/>
      <c r="D2" s="42"/>
      <c r="E2" s="31"/>
      <c r="F2" s="31"/>
      <c r="G2" s="42"/>
      <c r="H2" s="42"/>
      <c r="I2" s="42"/>
      <c r="J2" s="42"/>
      <c r="K2" s="42"/>
      <c r="L2" s="42"/>
    </row>
    <row r="3" spans="1:12" ht="12.75">
      <c r="A3" s="42" t="s">
        <v>1</v>
      </c>
      <c r="B3" s="42"/>
      <c r="C3" s="42"/>
      <c r="D3" s="42"/>
      <c r="E3" s="31"/>
      <c r="F3" s="31"/>
      <c r="G3" s="42"/>
      <c r="H3" s="42"/>
      <c r="I3" s="42"/>
      <c r="J3" s="42"/>
      <c r="K3" s="42"/>
      <c r="L3" s="42"/>
    </row>
    <row r="4" spans="1:12" ht="12.75">
      <c r="A4" s="42" t="s">
        <v>17</v>
      </c>
      <c r="B4" s="42"/>
      <c r="C4" s="42"/>
      <c r="D4" s="42"/>
      <c r="E4" s="31"/>
      <c r="F4" s="31"/>
      <c r="G4" s="42"/>
      <c r="H4" s="42"/>
      <c r="I4" s="42"/>
      <c r="J4" s="42"/>
      <c r="K4" s="42"/>
      <c r="L4" s="42"/>
    </row>
    <row r="5" spans="1:12" ht="12.75">
      <c r="A5" s="42"/>
      <c r="B5" s="42"/>
      <c r="C5" s="42"/>
      <c r="D5" s="42"/>
      <c r="E5" s="31"/>
      <c r="F5" s="31"/>
      <c r="G5" s="42"/>
      <c r="H5" s="42"/>
      <c r="I5" s="42"/>
      <c r="J5" s="42"/>
      <c r="K5" s="42"/>
      <c r="L5" s="42"/>
    </row>
    <row r="6" spans="1:12" ht="13.5" thickBot="1">
      <c r="A6" s="42"/>
      <c r="B6" s="42"/>
      <c r="C6" s="42"/>
      <c r="D6" s="42"/>
      <c r="E6" s="31"/>
      <c r="F6" s="31"/>
      <c r="G6" s="42"/>
      <c r="H6" s="42"/>
      <c r="I6" s="42"/>
      <c r="J6" s="42"/>
      <c r="K6" s="42"/>
      <c r="L6" s="42"/>
    </row>
    <row r="7" spans="1:12" ht="12.75">
      <c r="A7" s="71" t="s">
        <v>18</v>
      </c>
      <c r="B7" s="72" t="s">
        <v>2</v>
      </c>
      <c r="C7" s="73" t="s">
        <v>3</v>
      </c>
      <c r="D7" s="73"/>
      <c r="E7" s="74" t="s">
        <v>4</v>
      </c>
      <c r="F7" s="75" t="s">
        <v>5</v>
      </c>
      <c r="G7" s="74" t="s">
        <v>6</v>
      </c>
      <c r="H7" s="75" t="s">
        <v>7</v>
      </c>
      <c r="I7" s="76" t="s">
        <v>8</v>
      </c>
      <c r="J7" s="73" t="s">
        <v>9</v>
      </c>
      <c r="K7" s="76" t="s">
        <v>10</v>
      </c>
      <c r="L7" s="76" t="s">
        <v>11</v>
      </c>
    </row>
    <row r="8" spans="1:12" ht="13.5" thickBot="1">
      <c r="A8" s="77" t="s">
        <v>12</v>
      </c>
      <c r="B8" s="78" t="s">
        <v>13</v>
      </c>
      <c r="C8" s="79" t="s">
        <v>13</v>
      </c>
      <c r="D8" s="79"/>
      <c r="E8" s="80"/>
      <c r="F8" s="81"/>
      <c r="G8" s="80" t="s">
        <v>14</v>
      </c>
      <c r="H8" s="82"/>
      <c r="I8" s="83"/>
      <c r="J8" s="84" t="s">
        <v>15</v>
      </c>
      <c r="K8" s="85"/>
      <c r="L8" s="85"/>
    </row>
    <row r="9" spans="1:13" ht="25.5">
      <c r="A9" s="26" t="s">
        <v>181</v>
      </c>
      <c r="B9" s="53">
        <v>38728</v>
      </c>
      <c r="C9" s="28">
        <v>38630</v>
      </c>
      <c r="D9" s="28">
        <v>38633</v>
      </c>
      <c r="E9" s="29" t="s">
        <v>153</v>
      </c>
      <c r="F9" s="56" t="s">
        <v>79</v>
      </c>
      <c r="G9" s="89">
        <v>6.54</v>
      </c>
      <c r="H9" s="89">
        <f>222.8+222.8</f>
        <v>445.6</v>
      </c>
      <c r="I9" s="90"/>
      <c r="J9" s="89">
        <f>36.4+149.75+36.4</f>
        <v>222.55</v>
      </c>
      <c r="K9" s="90"/>
      <c r="L9" s="90">
        <f aca="true" t="shared" si="0" ref="L9:L16">SUM(G9:K9)</f>
        <v>674.69</v>
      </c>
      <c r="M9" s="26" t="s">
        <v>254</v>
      </c>
    </row>
    <row r="10" spans="1:13" ht="25.5">
      <c r="A10" s="26" t="s">
        <v>183</v>
      </c>
      <c r="B10" s="53">
        <v>38728</v>
      </c>
      <c r="C10" s="28">
        <v>38646</v>
      </c>
      <c r="D10" s="28">
        <v>38647</v>
      </c>
      <c r="E10" s="29" t="s">
        <v>86</v>
      </c>
      <c r="F10" s="56" t="s">
        <v>226</v>
      </c>
      <c r="G10" s="89"/>
      <c r="H10" s="89"/>
      <c r="I10" s="90"/>
      <c r="J10" s="89">
        <v>98.41</v>
      </c>
      <c r="K10" s="90"/>
      <c r="L10" s="90">
        <f t="shared" si="0"/>
        <v>98.41</v>
      </c>
      <c r="M10" s="26" t="s">
        <v>248</v>
      </c>
    </row>
    <row r="11" spans="1:13" ht="25.5">
      <c r="A11" s="26" t="s">
        <v>182</v>
      </c>
      <c r="B11" s="53">
        <v>38728</v>
      </c>
      <c r="C11" s="28">
        <v>38647</v>
      </c>
      <c r="D11" s="28">
        <v>38648</v>
      </c>
      <c r="E11" s="29" t="s">
        <v>73</v>
      </c>
      <c r="F11" s="56" t="s">
        <v>225</v>
      </c>
      <c r="G11" s="89"/>
      <c r="H11" s="90"/>
      <c r="I11" s="90"/>
      <c r="J11" s="89">
        <v>98</v>
      </c>
      <c r="K11" s="90"/>
      <c r="L11" s="90">
        <f t="shared" si="0"/>
        <v>98</v>
      </c>
      <c r="M11" s="26" t="s">
        <v>249</v>
      </c>
    </row>
    <row r="12" spans="1:13" ht="12.75">
      <c r="A12" s="26" t="s">
        <v>180</v>
      </c>
      <c r="B12" s="53">
        <v>38728</v>
      </c>
      <c r="C12" s="28">
        <v>38655</v>
      </c>
      <c r="D12" s="28">
        <v>38658</v>
      </c>
      <c r="E12" s="29" t="s">
        <v>89</v>
      </c>
      <c r="F12" s="56" t="s">
        <v>215</v>
      </c>
      <c r="G12" s="89"/>
      <c r="H12" s="90"/>
      <c r="I12" s="90">
        <v>387.5</v>
      </c>
      <c r="J12" s="89">
        <v>62</v>
      </c>
      <c r="K12" s="90">
        <v>661.79</v>
      </c>
      <c r="L12" s="90">
        <f t="shared" si="0"/>
        <v>1111.29</v>
      </c>
      <c r="M12" s="26" t="s">
        <v>250</v>
      </c>
    </row>
    <row r="13" spans="1:13" ht="25.5">
      <c r="A13" s="26" t="s">
        <v>185</v>
      </c>
      <c r="B13" s="53">
        <v>38728</v>
      </c>
      <c r="C13" s="28">
        <v>38661</v>
      </c>
      <c r="D13" s="28">
        <v>38663</v>
      </c>
      <c r="E13" s="29" t="s">
        <v>20</v>
      </c>
      <c r="F13" s="56" t="s">
        <v>164</v>
      </c>
      <c r="G13" s="89">
        <f>6.5+19.62+76.96</f>
        <v>103.08</v>
      </c>
      <c r="H13" s="89">
        <f>208.85+208.84</f>
        <v>417.69</v>
      </c>
      <c r="I13" s="90"/>
      <c r="J13" s="89">
        <f>83.01+137.5+83</f>
        <v>303.51</v>
      </c>
      <c r="K13" s="90"/>
      <c r="L13" s="90">
        <f t="shared" si="0"/>
        <v>824.28</v>
      </c>
      <c r="M13" s="26" t="s">
        <v>247</v>
      </c>
    </row>
    <row r="14" spans="1:13" ht="51">
      <c r="A14" s="26" t="s">
        <v>184</v>
      </c>
      <c r="B14" s="53">
        <v>38728</v>
      </c>
      <c r="C14" s="28">
        <v>38671</v>
      </c>
      <c r="D14" s="28">
        <v>38673</v>
      </c>
      <c r="E14" s="29" t="s">
        <v>89</v>
      </c>
      <c r="F14" s="56" t="s">
        <v>227</v>
      </c>
      <c r="G14" s="89"/>
      <c r="H14" s="90"/>
      <c r="I14" s="90"/>
      <c r="J14" s="89">
        <v>187.49</v>
      </c>
      <c r="K14" s="90"/>
      <c r="L14" s="90">
        <f t="shared" si="0"/>
        <v>187.49</v>
      </c>
      <c r="M14" s="26" t="s">
        <v>251</v>
      </c>
    </row>
    <row r="15" spans="1:13" ht="12.75">
      <c r="A15" s="26" t="s">
        <v>179</v>
      </c>
      <c r="B15" s="53">
        <v>38728</v>
      </c>
      <c r="C15" s="28">
        <v>38691</v>
      </c>
      <c r="D15" s="28">
        <v>38692</v>
      </c>
      <c r="E15" s="29" t="s">
        <v>73</v>
      </c>
      <c r="F15" s="56" t="s">
        <v>228</v>
      </c>
      <c r="G15" s="89"/>
      <c r="H15" s="90"/>
      <c r="I15" s="90"/>
      <c r="J15" s="89">
        <v>113.61</v>
      </c>
      <c r="K15" s="90"/>
      <c r="L15" s="90">
        <f t="shared" si="0"/>
        <v>113.61</v>
      </c>
      <c r="M15" s="26" t="s">
        <v>252</v>
      </c>
    </row>
    <row r="16" spans="1:13" ht="25.5">
      <c r="A16" s="26" t="s">
        <v>178</v>
      </c>
      <c r="B16" s="53">
        <v>38728</v>
      </c>
      <c r="C16" s="28">
        <v>38700</v>
      </c>
      <c r="D16" s="28">
        <v>38701</v>
      </c>
      <c r="E16" s="29" t="s">
        <v>89</v>
      </c>
      <c r="F16" s="56" t="s">
        <v>229</v>
      </c>
      <c r="G16" s="89"/>
      <c r="H16" s="90"/>
      <c r="I16" s="90">
        <v>67.84</v>
      </c>
      <c r="J16" s="89">
        <v>23.25</v>
      </c>
      <c r="K16" s="90"/>
      <c r="L16" s="90">
        <f t="shared" si="0"/>
        <v>91.09</v>
      </c>
      <c r="M16" s="26" t="s">
        <v>253</v>
      </c>
    </row>
    <row r="17" spans="1:13" ht="12.75">
      <c r="A17" s="26" t="s">
        <v>187</v>
      </c>
      <c r="B17" s="53">
        <v>38868</v>
      </c>
      <c r="C17" s="28">
        <v>38726</v>
      </c>
      <c r="D17" s="28">
        <v>38727</v>
      </c>
      <c r="E17" s="29" t="s">
        <v>154</v>
      </c>
      <c r="F17" s="56" t="s">
        <v>93</v>
      </c>
      <c r="G17" s="89"/>
      <c r="H17" s="90"/>
      <c r="I17" s="90">
        <v>90.26</v>
      </c>
      <c r="J17" s="89">
        <v>61.5</v>
      </c>
      <c r="K17" s="90"/>
      <c r="L17" s="90">
        <f aca="true" t="shared" si="1" ref="L17:L41">SUM(G17:K17)</f>
        <v>151.76</v>
      </c>
      <c r="M17" s="26" t="s">
        <v>262</v>
      </c>
    </row>
    <row r="18" spans="1:13" ht="25.5">
      <c r="A18" s="26" t="s">
        <v>195</v>
      </c>
      <c r="B18" s="53">
        <v>38849</v>
      </c>
      <c r="C18" s="28">
        <v>38736</v>
      </c>
      <c r="D18" s="28">
        <v>38737</v>
      </c>
      <c r="E18" s="29" t="s">
        <v>71</v>
      </c>
      <c r="F18" s="56" t="s">
        <v>230</v>
      </c>
      <c r="G18" s="89"/>
      <c r="H18" s="90"/>
      <c r="I18" s="90">
        <v>55</v>
      </c>
      <c r="J18" s="89">
        <v>66</v>
      </c>
      <c r="K18" s="90"/>
      <c r="L18" s="90">
        <f t="shared" si="1"/>
        <v>121</v>
      </c>
      <c r="M18" s="26" t="s">
        <v>257</v>
      </c>
    </row>
    <row r="19" spans="1:13" ht="38.25">
      <c r="A19" s="26" t="s">
        <v>189</v>
      </c>
      <c r="B19" s="53">
        <v>38849</v>
      </c>
      <c r="C19" s="28">
        <v>38738</v>
      </c>
      <c r="D19" s="28">
        <v>38741</v>
      </c>
      <c r="E19" s="29" t="s">
        <v>34</v>
      </c>
      <c r="F19" s="56" t="s">
        <v>165</v>
      </c>
      <c r="G19" s="89"/>
      <c r="H19" s="89">
        <f>158.86+158.85</f>
        <v>317.71000000000004</v>
      </c>
      <c r="I19" s="90">
        <f>355.53+355.53</f>
        <v>711.06</v>
      </c>
      <c r="J19" s="89">
        <f>224+104</f>
        <v>328</v>
      </c>
      <c r="K19" s="90">
        <f>29.85+88</f>
        <v>117.85</v>
      </c>
      <c r="L19" s="90">
        <f t="shared" si="1"/>
        <v>1474.62</v>
      </c>
      <c r="M19" s="26" t="s">
        <v>256</v>
      </c>
    </row>
    <row r="20" spans="1:13" ht="38.25">
      <c r="A20" s="26" t="s">
        <v>196</v>
      </c>
      <c r="B20" s="53">
        <v>38849</v>
      </c>
      <c r="C20" s="28">
        <v>38754</v>
      </c>
      <c r="D20" s="28">
        <v>38755</v>
      </c>
      <c r="E20" s="29" t="s">
        <v>86</v>
      </c>
      <c r="F20" s="56" t="s">
        <v>231</v>
      </c>
      <c r="G20" s="89"/>
      <c r="H20" s="90"/>
      <c r="I20" s="90">
        <v>94</v>
      </c>
      <c r="J20" s="89">
        <v>73.5</v>
      </c>
      <c r="K20" s="90"/>
      <c r="L20" s="90">
        <f t="shared" si="1"/>
        <v>167.5</v>
      </c>
      <c r="M20" s="26" t="s">
        <v>258</v>
      </c>
    </row>
    <row r="21" spans="1:13" ht="25.5">
      <c r="A21" s="26" t="s">
        <v>188</v>
      </c>
      <c r="B21" s="53">
        <v>38849</v>
      </c>
      <c r="C21" s="28">
        <v>38760</v>
      </c>
      <c r="D21" s="28">
        <v>38761</v>
      </c>
      <c r="E21" s="29" t="s">
        <v>155</v>
      </c>
      <c r="F21" s="56" t="s">
        <v>166</v>
      </c>
      <c r="G21" s="89">
        <v>13.08</v>
      </c>
      <c r="H21" s="89">
        <f>283.34+283.35</f>
        <v>566.69</v>
      </c>
      <c r="I21" s="90"/>
      <c r="J21" s="89">
        <f>46.62+88.5+46.62</f>
        <v>181.74</v>
      </c>
      <c r="K21" s="90"/>
      <c r="L21" s="90">
        <f t="shared" si="1"/>
        <v>761.5100000000001</v>
      </c>
      <c r="M21" s="26" t="s">
        <v>255</v>
      </c>
    </row>
    <row r="22" spans="1:13" ht="38.25">
      <c r="A22" s="26" t="s">
        <v>207</v>
      </c>
      <c r="B22" s="53">
        <v>38849</v>
      </c>
      <c r="C22" s="28">
        <v>38763</v>
      </c>
      <c r="D22" s="28">
        <v>38765</v>
      </c>
      <c r="E22" s="29" t="s">
        <v>156</v>
      </c>
      <c r="F22" s="56" t="s">
        <v>167</v>
      </c>
      <c r="G22" s="89">
        <v>6</v>
      </c>
      <c r="H22" s="89">
        <f>294.86+294.86</f>
        <v>589.72</v>
      </c>
      <c r="I22" s="90"/>
      <c r="J22" s="89">
        <f>142.7+161+142.7+68</f>
        <v>514.4</v>
      </c>
      <c r="K22" s="90">
        <f>100+54</f>
        <v>154</v>
      </c>
      <c r="L22" s="90">
        <f t="shared" si="1"/>
        <v>1264.12</v>
      </c>
      <c r="M22" s="26" t="s">
        <v>259</v>
      </c>
    </row>
    <row r="23" spans="1:13" ht="12.75">
      <c r="A23" s="26" t="s">
        <v>197</v>
      </c>
      <c r="B23" s="53">
        <v>38875</v>
      </c>
      <c r="C23" s="28">
        <v>38774</v>
      </c>
      <c r="D23" s="28">
        <v>38775</v>
      </c>
      <c r="E23" s="29" t="s">
        <v>132</v>
      </c>
      <c r="F23" s="56" t="s">
        <v>168</v>
      </c>
      <c r="G23" s="89"/>
      <c r="H23" s="90"/>
      <c r="I23" s="90">
        <v>67.84</v>
      </c>
      <c r="J23" s="89">
        <v>66</v>
      </c>
      <c r="K23" s="90"/>
      <c r="L23" s="90">
        <f t="shared" si="1"/>
        <v>133.84</v>
      </c>
      <c r="M23" s="26" t="s">
        <v>263</v>
      </c>
    </row>
    <row r="24" spans="1:13" ht="25.5">
      <c r="A24" s="26" t="s">
        <v>201</v>
      </c>
      <c r="B24" s="53">
        <v>38994</v>
      </c>
      <c r="C24" s="28">
        <v>38797</v>
      </c>
      <c r="D24" s="28">
        <v>38798</v>
      </c>
      <c r="E24" s="29" t="s">
        <v>86</v>
      </c>
      <c r="F24" s="56" t="s">
        <v>232</v>
      </c>
      <c r="G24" s="89"/>
      <c r="H24" s="90"/>
      <c r="I24" s="90">
        <f>38.15+38.15</f>
        <v>76.3</v>
      </c>
      <c r="J24" s="89">
        <f>36.75+36.75</f>
        <v>73.5</v>
      </c>
      <c r="K24" s="90"/>
      <c r="L24" s="90">
        <f t="shared" si="1"/>
        <v>149.8</v>
      </c>
      <c r="M24" s="26" t="s">
        <v>276</v>
      </c>
    </row>
    <row r="25" spans="1:13" ht="25.5">
      <c r="A25" s="26" t="s">
        <v>206</v>
      </c>
      <c r="B25" s="53">
        <v>38994</v>
      </c>
      <c r="C25" s="28">
        <v>38804</v>
      </c>
      <c r="D25" s="28">
        <v>38806</v>
      </c>
      <c r="E25" s="29" t="s">
        <v>157</v>
      </c>
      <c r="F25" s="56" t="s">
        <v>169</v>
      </c>
      <c r="G25" s="89">
        <f>84.96+12</f>
        <v>96.96</v>
      </c>
      <c r="H25" s="89">
        <f>370.9+370.9</f>
        <v>741.8</v>
      </c>
      <c r="I25" s="90">
        <f>103.62+103.63</f>
        <v>207.25</v>
      </c>
      <c r="J25" s="89">
        <f>177+132.29</f>
        <v>309.28999999999996</v>
      </c>
      <c r="K25" s="90"/>
      <c r="L25" s="90">
        <f t="shared" si="1"/>
        <v>1355.3</v>
      </c>
      <c r="M25" s="26" t="s">
        <v>277</v>
      </c>
    </row>
    <row r="26" spans="1:13" ht="25.5">
      <c r="A26" s="26" t="s">
        <v>190</v>
      </c>
      <c r="B26" s="53">
        <v>38994</v>
      </c>
      <c r="C26" s="28">
        <v>38809</v>
      </c>
      <c r="D26" s="28">
        <v>38811</v>
      </c>
      <c r="E26" s="29" t="s">
        <v>34</v>
      </c>
      <c r="F26" s="56" t="s">
        <v>170</v>
      </c>
      <c r="G26" s="89">
        <v>671.38</v>
      </c>
      <c r="H26" s="89"/>
      <c r="I26" s="90">
        <f>319.46+319.46</f>
        <v>638.92</v>
      </c>
      <c r="J26" s="89">
        <v>144</v>
      </c>
      <c r="K26" s="90">
        <f>19.62+132.29+124</f>
        <v>275.90999999999997</v>
      </c>
      <c r="L26" s="90">
        <f t="shared" si="1"/>
        <v>1730.21</v>
      </c>
      <c r="M26" s="26" t="s">
        <v>264</v>
      </c>
    </row>
    <row r="27" spans="1:13" ht="38.25">
      <c r="A27" s="26" t="s">
        <v>268</v>
      </c>
      <c r="B27" s="53">
        <v>38994</v>
      </c>
      <c r="C27" s="28">
        <v>38818</v>
      </c>
      <c r="D27" s="28">
        <v>38819</v>
      </c>
      <c r="E27" s="29" t="s">
        <v>86</v>
      </c>
      <c r="F27" s="56" t="s">
        <v>171</v>
      </c>
      <c r="G27" s="89"/>
      <c r="H27" s="89"/>
      <c r="I27" s="90">
        <v>76.3</v>
      </c>
      <c r="J27" s="89">
        <v>73.5</v>
      </c>
      <c r="K27" s="90"/>
      <c r="L27" s="90">
        <f t="shared" si="1"/>
        <v>149.8</v>
      </c>
      <c r="M27" s="26" t="s">
        <v>270</v>
      </c>
    </row>
    <row r="28" spans="1:13" ht="25.5">
      <c r="A28" s="26" t="s">
        <v>208</v>
      </c>
      <c r="B28" s="53">
        <v>38854</v>
      </c>
      <c r="C28" s="28">
        <v>38816</v>
      </c>
      <c r="D28" s="28">
        <v>38819</v>
      </c>
      <c r="E28" s="29" t="s">
        <v>86</v>
      </c>
      <c r="F28" s="56" t="s">
        <v>269</v>
      </c>
      <c r="G28" s="89"/>
      <c r="H28" s="90"/>
      <c r="I28" s="90">
        <v>216.41</v>
      </c>
      <c r="J28" s="89">
        <v>159.25</v>
      </c>
      <c r="K28" s="90"/>
      <c r="L28" s="90">
        <f t="shared" si="1"/>
        <v>375.65999999999997</v>
      </c>
      <c r="M28" s="26" t="s">
        <v>261</v>
      </c>
    </row>
    <row r="29" spans="1:13" ht="25.5">
      <c r="A29" s="26" t="s">
        <v>203</v>
      </c>
      <c r="B29" s="53">
        <v>38994</v>
      </c>
      <c r="C29" s="28">
        <v>38820</v>
      </c>
      <c r="D29" s="28">
        <v>38822</v>
      </c>
      <c r="E29" s="29" t="s">
        <v>158</v>
      </c>
      <c r="F29" s="56" t="s">
        <v>172</v>
      </c>
      <c r="G29" s="89">
        <f>19.33+68.2+68.21</f>
        <v>155.74</v>
      </c>
      <c r="H29" s="89">
        <f>355.84+355.85</f>
        <v>711.69</v>
      </c>
      <c r="I29" s="90"/>
      <c r="J29" s="89">
        <v>88</v>
      </c>
      <c r="K29" s="90"/>
      <c r="L29" s="90">
        <f t="shared" si="1"/>
        <v>955.4300000000001</v>
      </c>
      <c r="M29" s="26" t="s">
        <v>265</v>
      </c>
    </row>
    <row r="30" spans="1:13" ht="12.75">
      <c r="A30" s="26" t="s">
        <v>186</v>
      </c>
      <c r="B30" s="53">
        <v>38868</v>
      </c>
      <c r="C30" s="28">
        <v>38827</v>
      </c>
      <c r="D30" s="28">
        <v>38828</v>
      </c>
      <c r="E30" s="29" t="s">
        <v>73</v>
      </c>
      <c r="F30" s="56" t="s">
        <v>123</v>
      </c>
      <c r="G30" s="89"/>
      <c r="H30" s="90"/>
      <c r="I30" s="90">
        <v>86.86</v>
      </c>
      <c r="J30" s="89">
        <v>73.5</v>
      </c>
      <c r="K30" s="90"/>
      <c r="L30" s="90">
        <f t="shared" si="1"/>
        <v>160.36</v>
      </c>
      <c r="M30" s="26" t="s">
        <v>260</v>
      </c>
    </row>
    <row r="31" spans="1:13" ht="25.5">
      <c r="A31" s="26" t="s">
        <v>205</v>
      </c>
      <c r="B31" s="53">
        <v>38994</v>
      </c>
      <c r="C31" s="28">
        <v>38828</v>
      </c>
      <c r="D31" s="28">
        <v>38830</v>
      </c>
      <c r="E31" s="29" t="s">
        <v>159</v>
      </c>
      <c r="F31" s="56" t="s">
        <v>233</v>
      </c>
      <c r="G31" s="89">
        <v>42.62</v>
      </c>
      <c r="H31" s="90"/>
      <c r="I31" s="90">
        <f>36.65+36.65</f>
        <v>73.3</v>
      </c>
      <c r="J31" s="89">
        <f>91.75+86</f>
        <v>177.75</v>
      </c>
      <c r="K31" s="90">
        <v>42.63</v>
      </c>
      <c r="L31" s="90">
        <f t="shared" si="1"/>
        <v>336.29999999999995</v>
      </c>
      <c r="M31" s="26" t="s">
        <v>273</v>
      </c>
    </row>
    <row r="32" spans="1:13" ht="38.25">
      <c r="A32" s="26" t="s">
        <v>193</v>
      </c>
      <c r="B32" s="53">
        <v>38994</v>
      </c>
      <c r="C32" s="28">
        <v>38833</v>
      </c>
      <c r="D32" s="28">
        <v>38838</v>
      </c>
      <c r="E32" s="29" t="s">
        <v>160</v>
      </c>
      <c r="F32" s="56" t="s">
        <v>173</v>
      </c>
      <c r="G32" s="89">
        <f>99.74+99.74+36.46+35+35</f>
        <v>305.94</v>
      </c>
      <c r="H32" s="90">
        <f>614.79+614.79</f>
        <v>1229.58</v>
      </c>
      <c r="I32" s="90">
        <f>457.81+457.8</f>
        <v>915.61</v>
      </c>
      <c r="J32" s="89">
        <f>292.25+187.5+187.5</f>
        <v>667.25</v>
      </c>
      <c r="K32" s="90"/>
      <c r="L32" s="90">
        <f t="shared" si="1"/>
        <v>3118.38</v>
      </c>
      <c r="M32" s="26" t="s">
        <v>266</v>
      </c>
    </row>
    <row r="33" spans="1:13" ht="25.5">
      <c r="A33" s="26" t="s">
        <v>202</v>
      </c>
      <c r="B33" s="53">
        <v>38994</v>
      </c>
      <c r="C33" s="28">
        <v>38848</v>
      </c>
      <c r="D33" s="28">
        <v>38849</v>
      </c>
      <c r="E33" s="29" t="s">
        <v>86</v>
      </c>
      <c r="F33" s="56" t="s">
        <v>234</v>
      </c>
      <c r="G33" s="89"/>
      <c r="H33" s="90"/>
      <c r="I33" s="90">
        <f>38.15+38.15</f>
        <v>76.3</v>
      </c>
      <c r="J33" s="89">
        <f>30.63+30.62</f>
        <v>61.25</v>
      </c>
      <c r="K33" s="90"/>
      <c r="L33" s="90">
        <f t="shared" si="1"/>
        <v>137.55</v>
      </c>
      <c r="M33" s="26" t="s">
        <v>271</v>
      </c>
    </row>
    <row r="34" spans="1:13" ht="25.5">
      <c r="A34" s="26" t="s">
        <v>194</v>
      </c>
      <c r="B34" s="53">
        <v>38994</v>
      </c>
      <c r="C34" s="28">
        <v>38866</v>
      </c>
      <c r="D34" s="28">
        <v>38869</v>
      </c>
      <c r="E34" s="29" t="s">
        <v>161</v>
      </c>
      <c r="F34" s="56" t="s">
        <v>174</v>
      </c>
      <c r="G34" s="89">
        <v>77</v>
      </c>
      <c r="H34" s="90">
        <f>141.8+141.8</f>
        <v>283.6</v>
      </c>
      <c r="I34" s="90">
        <f>210.16+210.17</f>
        <v>420.33</v>
      </c>
      <c r="J34" s="89">
        <v>160.25</v>
      </c>
      <c r="K34" s="90">
        <v>63.9</v>
      </c>
      <c r="L34" s="90">
        <f t="shared" si="1"/>
        <v>1005.08</v>
      </c>
      <c r="M34" s="26" t="s">
        <v>267</v>
      </c>
    </row>
    <row r="35" spans="1:13" ht="25.5">
      <c r="A35" s="26" t="s">
        <v>204</v>
      </c>
      <c r="B35" s="53">
        <v>38994</v>
      </c>
      <c r="C35" s="28">
        <v>38893</v>
      </c>
      <c r="D35" s="28">
        <v>38895</v>
      </c>
      <c r="E35" s="29" t="s">
        <v>162</v>
      </c>
      <c r="F35" s="56" t="s">
        <v>175</v>
      </c>
      <c r="G35" s="89">
        <f>17.77+17.77+15.08+43.5+43.5</f>
        <v>137.62</v>
      </c>
      <c r="H35" s="90">
        <f>575.65+575.64</f>
        <v>1151.29</v>
      </c>
      <c r="I35" s="90">
        <f>234.47+234.48</f>
        <v>468.95</v>
      </c>
      <c r="J35" s="89">
        <v>160</v>
      </c>
      <c r="K35" s="90"/>
      <c r="L35" s="90">
        <f t="shared" si="1"/>
        <v>1917.86</v>
      </c>
      <c r="M35" s="26" t="s">
        <v>272</v>
      </c>
    </row>
    <row r="36" spans="1:13" ht="25.5">
      <c r="A36" s="26" t="s">
        <v>191</v>
      </c>
      <c r="B36" s="53">
        <v>38994</v>
      </c>
      <c r="C36" s="28">
        <v>38924</v>
      </c>
      <c r="D36" s="28">
        <v>38927</v>
      </c>
      <c r="E36" s="29" t="s">
        <v>34</v>
      </c>
      <c r="F36" s="56" t="s">
        <v>235</v>
      </c>
      <c r="G36" s="89">
        <v>26.16</v>
      </c>
      <c r="H36" s="90">
        <f>167.84+167.85</f>
        <v>335.69</v>
      </c>
      <c r="I36" s="90">
        <f>257.62+257.61</f>
        <v>515.23</v>
      </c>
      <c r="J36" s="89">
        <f>192+180</f>
        <v>372</v>
      </c>
      <c r="K36" s="90"/>
      <c r="L36" s="90">
        <f t="shared" si="1"/>
        <v>1249.08</v>
      </c>
      <c r="M36" s="50">
        <v>1</v>
      </c>
    </row>
    <row r="37" spans="1:13" ht="38.25">
      <c r="A37" s="26" t="s">
        <v>209</v>
      </c>
      <c r="B37" s="53">
        <v>38994</v>
      </c>
      <c r="C37" s="28">
        <v>38937</v>
      </c>
      <c r="D37" s="28">
        <v>38938</v>
      </c>
      <c r="E37" s="29" t="s">
        <v>86</v>
      </c>
      <c r="F37" s="56" t="s">
        <v>245</v>
      </c>
      <c r="G37" s="89"/>
      <c r="H37" s="90"/>
      <c r="I37" s="90">
        <v>73.6</v>
      </c>
      <c r="J37" s="89">
        <v>36.75</v>
      </c>
      <c r="K37" s="90">
        <v>30.54</v>
      </c>
      <c r="L37" s="90">
        <f t="shared" si="1"/>
        <v>140.89</v>
      </c>
      <c r="M37" s="26" t="s">
        <v>267</v>
      </c>
    </row>
    <row r="38" spans="1:13" ht="25.5">
      <c r="A38" s="26" t="s">
        <v>198</v>
      </c>
      <c r="B38" s="53">
        <v>39001</v>
      </c>
      <c r="C38" s="28">
        <v>38959</v>
      </c>
      <c r="D38" s="28">
        <v>38961</v>
      </c>
      <c r="E38" s="29" t="s">
        <v>132</v>
      </c>
      <c r="F38" s="56" t="s">
        <v>236</v>
      </c>
      <c r="G38" s="89">
        <v>5</v>
      </c>
      <c r="H38" s="90"/>
      <c r="I38" s="90">
        <v>139.92</v>
      </c>
      <c r="J38" s="89">
        <v>99</v>
      </c>
      <c r="K38" s="90">
        <v>50</v>
      </c>
      <c r="L38" s="90">
        <f t="shared" si="1"/>
        <v>293.91999999999996</v>
      </c>
      <c r="M38" s="26" t="s">
        <v>274</v>
      </c>
    </row>
    <row r="39" spans="1:13" ht="12.75">
      <c r="A39" s="26" t="s">
        <v>192</v>
      </c>
      <c r="B39" s="53">
        <v>38994</v>
      </c>
      <c r="C39" s="28">
        <v>38972</v>
      </c>
      <c r="D39" s="28">
        <v>38974</v>
      </c>
      <c r="E39" s="29" t="s">
        <v>34</v>
      </c>
      <c r="F39" s="56" t="s">
        <v>237</v>
      </c>
      <c r="G39" s="89">
        <f>19.62+61+61</f>
        <v>141.62</v>
      </c>
      <c r="H39" s="90">
        <f>167.85+167.84</f>
        <v>335.69</v>
      </c>
      <c r="I39" s="90">
        <f>286.9+286.9</f>
        <v>573.8</v>
      </c>
      <c r="J39" s="89">
        <v>144</v>
      </c>
      <c r="K39" s="90"/>
      <c r="L39" s="90">
        <f t="shared" si="1"/>
        <v>1195.11</v>
      </c>
      <c r="M39" s="26" t="s">
        <v>265</v>
      </c>
    </row>
    <row r="40" spans="1:13" ht="12.75">
      <c r="A40" s="26" t="s">
        <v>199</v>
      </c>
      <c r="B40" s="53">
        <v>39001</v>
      </c>
      <c r="C40" s="28">
        <v>38985</v>
      </c>
      <c r="D40" s="28">
        <v>38986</v>
      </c>
      <c r="E40" s="29" t="s">
        <v>163</v>
      </c>
      <c r="F40" s="56" t="s">
        <v>176</v>
      </c>
      <c r="G40" s="89"/>
      <c r="H40" s="90"/>
      <c r="I40" s="90">
        <v>69.96</v>
      </c>
      <c r="J40" s="89">
        <v>55</v>
      </c>
      <c r="K40" s="90"/>
      <c r="L40" s="90">
        <f t="shared" si="1"/>
        <v>124.96</v>
      </c>
      <c r="M40" s="26" t="s">
        <v>260</v>
      </c>
    </row>
    <row r="41" spans="1:13" ht="12.75">
      <c r="A41" s="26" t="s">
        <v>200</v>
      </c>
      <c r="B41" s="53">
        <v>39001</v>
      </c>
      <c r="C41" s="28">
        <v>38987</v>
      </c>
      <c r="D41" s="28">
        <v>38988</v>
      </c>
      <c r="E41" s="29" t="s">
        <v>163</v>
      </c>
      <c r="F41" s="56" t="s">
        <v>177</v>
      </c>
      <c r="G41" s="89"/>
      <c r="H41" s="90"/>
      <c r="I41" s="90">
        <v>69.96</v>
      </c>
      <c r="J41" s="89">
        <v>44</v>
      </c>
      <c r="K41" s="90"/>
      <c r="L41" s="90">
        <f t="shared" si="1"/>
        <v>113.96</v>
      </c>
      <c r="M41" s="26" t="s">
        <v>275</v>
      </c>
    </row>
    <row r="42" spans="2:12" ht="12.75">
      <c r="B42" s="30"/>
      <c r="C42" s="30"/>
      <c r="D42" s="30"/>
      <c r="E42" s="31"/>
      <c r="F42" s="31"/>
      <c r="G42" s="65"/>
      <c r="H42" s="65"/>
      <c r="I42" s="65"/>
      <c r="J42" s="65"/>
      <c r="K42" s="65"/>
      <c r="L42" s="91"/>
    </row>
    <row r="43" spans="1:12" ht="12.75">
      <c r="A43" s="42"/>
      <c r="B43" s="42"/>
      <c r="C43" s="42"/>
      <c r="D43" s="42"/>
      <c r="E43" s="31"/>
      <c r="F43" s="31"/>
      <c r="G43" s="92"/>
      <c r="H43" s="92"/>
      <c r="I43" s="92"/>
      <c r="J43" s="92"/>
      <c r="K43" s="92"/>
      <c r="L43" s="92"/>
    </row>
    <row r="44" spans="1:12" ht="12.75">
      <c r="A44" s="42"/>
      <c r="B44" s="42"/>
      <c r="C44" s="42"/>
      <c r="D44" s="42"/>
      <c r="E44" s="31"/>
      <c r="F44" s="44" t="s">
        <v>22</v>
      </c>
      <c r="G44" s="113">
        <f aca="true" t="shared" si="2" ref="G44:L44">SUM(G9:G42)</f>
        <v>1788.7400000000002</v>
      </c>
      <c r="H44" s="113">
        <f t="shared" si="2"/>
        <v>7126.749999999999</v>
      </c>
      <c r="I44" s="113">
        <f t="shared" si="2"/>
        <v>6172.500000000001</v>
      </c>
      <c r="J44" s="113">
        <f t="shared" si="2"/>
        <v>5298.25</v>
      </c>
      <c r="K44" s="113">
        <f t="shared" si="2"/>
        <v>1396.6200000000001</v>
      </c>
      <c r="L44" s="113">
        <f t="shared" si="2"/>
        <v>21782.86</v>
      </c>
    </row>
    <row r="45" spans="7:12" ht="12.75">
      <c r="G45" s="93"/>
      <c r="H45" s="93"/>
      <c r="I45" s="93"/>
      <c r="J45" s="93"/>
      <c r="K45" s="93"/>
      <c r="L45" s="93"/>
    </row>
  </sheetData>
  <sheetProtection/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4" width="10.140625" style="0" bestFit="1" customWidth="1"/>
    <col min="5" max="5" width="15.421875" style="0" bestFit="1" customWidth="1"/>
    <col min="6" max="6" width="37.28125" style="0" bestFit="1" customWidth="1"/>
    <col min="7" max="7" width="7.57421875" style="0" bestFit="1" customWidth="1"/>
    <col min="8" max="8" width="6.28125" style="0" bestFit="1" customWidth="1"/>
    <col min="9" max="9" width="7.57421875" style="0" bestFit="1" customWidth="1"/>
    <col min="10" max="10" width="8.7109375" style="0" bestFit="1" customWidth="1"/>
    <col min="11" max="11" width="5.57421875" style="0" bestFit="1" customWidth="1"/>
    <col min="12" max="12" width="7.57421875" style="0" bestFit="1" customWidth="1"/>
  </cols>
  <sheetData>
    <row r="1" spans="1:12" ht="12.75">
      <c r="A1" s="1" t="s">
        <v>28</v>
      </c>
      <c r="B1" s="2"/>
      <c r="C1" s="2"/>
      <c r="D1" s="2"/>
      <c r="E1" s="3"/>
      <c r="F1" s="19" t="s">
        <v>48</v>
      </c>
      <c r="G1" s="2"/>
      <c r="H1" s="2"/>
      <c r="I1" s="2"/>
      <c r="J1" s="2"/>
      <c r="K1" s="2"/>
      <c r="L1" s="2"/>
    </row>
    <row r="2" spans="1:12" ht="12.75">
      <c r="A2" s="2" t="s">
        <v>46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18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ht="12.75">
      <c r="A9" s="26"/>
      <c r="B9" s="27"/>
      <c r="C9" s="28"/>
      <c r="D9" s="28"/>
      <c r="E9" s="29"/>
      <c r="F9" s="60" t="s">
        <v>141</v>
      </c>
      <c r="G9" s="40"/>
      <c r="H9" s="40"/>
      <c r="I9" s="40"/>
      <c r="J9" s="40"/>
      <c r="K9" s="40"/>
      <c r="L9" s="24">
        <f>SUM(G9:K9)</f>
        <v>0</v>
      </c>
    </row>
    <row r="10" spans="1:12" ht="12.75">
      <c r="A10" s="26"/>
      <c r="B10" s="30"/>
      <c r="C10" s="30"/>
      <c r="D10" s="30"/>
      <c r="E10" s="31"/>
      <c r="F10" s="31"/>
      <c r="G10" s="41"/>
      <c r="H10" s="41"/>
      <c r="I10" s="41"/>
      <c r="J10" s="41"/>
      <c r="K10" s="41"/>
      <c r="L10" s="25"/>
    </row>
    <row r="11" spans="1:12" ht="12.75">
      <c r="A11" s="2"/>
      <c r="B11" s="2"/>
      <c r="C11" s="2"/>
      <c r="D11" s="2"/>
      <c r="E11" s="3"/>
      <c r="F11" s="3"/>
      <c r="G11" s="23"/>
      <c r="H11" s="23"/>
      <c r="I11" s="23"/>
      <c r="J11" s="23"/>
      <c r="K11" s="23"/>
      <c r="L11" s="23"/>
    </row>
    <row r="12" spans="1:12" ht="12.75">
      <c r="A12" s="2"/>
      <c r="B12" s="2"/>
      <c r="C12" s="2"/>
      <c r="D12" s="2"/>
      <c r="E12" s="3"/>
      <c r="F12" s="19" t="s">
        <v>22</v>
      </c>
      <c r="G12" s="23">
        <f aca="true" t="shared" si="0" ref="G12:L12">SUM(G9:G11)</f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</row>
    <row r="13" spans="1:12" ht="12.75">
      <c r="A13" s="2"/>
      <c r="B13" s="2"/>
      <c r="C13" s="2"/>
      <c r="D13" s="2"/>
      <c r="E13" s="3"/>
      <c r="F13" s="3"/>
      <c r="G13" s="2"/>
      <c r="H13" s="2"/>
      <c r="I13" s="2"/>
      <c r="J13" s="2"/>
      <c r="K13" s="2"/>
      <c r="L13" s="2"/>
    </row>
    <row r="14" spans="1:16" ht="12.75">
      <c r="A14" s="42"/>
      <c r="B14" s="42"/>
      <c r="C14" s="42"/>
      <c r="D14" s="42"/>
      <c r="E14" s="31"/>
      <c r="F14" s="44"/>
      <c r="G14" s="43"/>
      <c r="H14" s="43"/>
      <c r="I14" s="43"/>
      <c r="J14" s="43"/>
      <c r="K14" s="43"/>
      <c r="L14" s="43"/>
      <c r="M14" s="26"/>
      <c r="N14" s="26"/>
      <c r="O14" s="26"/>
      <c r="P14" s="26"/>
    </row>
    <row r="15" spans="1:16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90" zoomScaleNormal="90" zoomScalePageLayoutView="0" workbookViewId="0" topLeftCell="A1">
      <selection activeCell="L9" sqref="L9"/>
    </sheetView>
  </sheetViews>
  <sheetFormatPr defaultColWidth="9.140625" defaultRowHeight="12.75"/>
  <cols>
    <col min="1" max="1" width="20.421875" style="0" bestFit="1" customWidth="1"/>
    <col min="2" max="4" width="9.8515625" style="0" bestFit="1" customWidth="1"/>
    <col min="5" max="5" width="16.00390625" style="0" bestFit="1" customWidth="1"/>
    <col min="6" max="6" width="31.00390625" style="0" bestFit="1" customWidth="1"/>
    <col min="7" max="7" width="11.140625" style="0" bestFit="1" customWidth="1"/>
    <col min="8" max="8" width="9.57421875" style="0" bestFit="1" customWidth="1"/>
    <col min="9" max="9" width="11.140625" style="0" bestFit="1" customWidth="1"/>
    <col min="10" max="10" width="9.57421875" style="0" bestFit="1" customWidth="1"/>
    <col min="11" max="11" width="9.28125" style="0" bestFit="1" customWidth="1"/>
    <col min="12" max="12" width="11.140625" style="0" bestFit="1" customWidth="1"/>
  </cols>
  <sheetData>
    <row r="1" spans="1:12" ht="12.75">
      <c r="A1" s="1" t="s">
        <v>44</v>
      </c>
      <c r="B1" s="2">
        <v>470</v>
      </c>
      <c r="C1" s="2"/>
      <c r="D1" s="2"/>
      <c r="E1" s="19"/>
      <c r="F1" s="19" t="s">
        <v>47</v>
      </c>
      <c r="G1" s="2"/>
      <c r="H1" s="2"/>
      <c r="I1" s="2"/>
      <c r="J1" s="2"/>
      <c r="K1" s="2"/>
      <c r="L1" s="2"/>
    </row>
    <row r="2" spans="1:12" ht="12.75">
      <c r="A2" s="2" t="s">
        <v>45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18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ht="25.5">
      <c r="A9" s="32" t="s">
        <v>142</v>
      </c>
      <c r="B9" s="102">
        <v>38623</v>
      </c>
      <c r="C9" s="22">
        <v>38630</v>
      </c>
      <c r="D9" s="22">
        <v>38632</v>
      </c>
      <c r="E9" s="20" t="s">
        <v>88</v>
      </c>
      <c r="F9" s="21" t="s">
        <v>79</v>
      </c>
      <c r="G9" s="40">
        <v>218.46</v>
      </c>
      <c r="H9" s="40"/>
      <c r="I9" s="40">
        <v>120</v>
      </c>
      <c r="J9" s="40">
        <v>77.5</v>
      </c>
      <c r="K9" s="40"/>
      <c r="L9" s="24">
        <f>SUM(G9:K9)</f>
        <v>415.96000000000004</v>
      </c>
    </row>
    <row r="10" spans="1:12" ht="25.5">
      <c r="A10" s="32" t="s">
        <v>143</v>
      </c>
      <c r="B10" s="102">
        <v>38756</v>
      </c>
      <c r="C10" s="22">
        <v>38735</v>
      </c>
      <c r="D10" s="22">
        <v>38737</v>
      </c>
      <c r="E10" s="20" t="s">
        <v>71</v>
      </c>
      <c r="F10" s="21" t="s">
        <v>79</v>
      </c>
      <c r="G10" s="24">
        <v>224.56</v>
      </c>
      <c r="H10" s="24">
        <v>0</v>
      </c>
      <c r="I10" s="24">
        <v>165.14</v>
      </c>
      <c r="J10" s="24">
        <v>97.5</v>
      </c>
      <c r="K10" s="24">
        <v>0</v>
      </c>
      <c r="L10" s="24">
        <f>SUM(G10:K10)</f>
        <v>487.2</v>
      </c>
    </row>
    <row r="11" spans="1:12" s="26" customFormat="1" ht="25.5">
      <c r="A11" s="52" t="s">
        <v>144</v>
      </c>
      <c r="B11" s="102">
        <v>38820</v>
      </c>
      <c r="C11" s="28">
        <v>38825</v>
      </c>
      <c r="D11" s="28">
        <v>38828</v>
      </c>
      <c r="E11" s="29" t="s">
        <v>73</v>
      </c>
      <c r="F11" s="56" t="s">
        <v>79</v>
      </c>
      <c r="G11" s="40">
        <v>130.02</v>
      </c>
      <c r="H11" s="40"/>
      <c r="I11" s="40">
        <v>285.39</v>
      </c>
      <c r="J11" s="40">
        <v>171.5</v>
      </c>
      <c r="K11" s="40"/>
      <c r="L11" s="40">
        <f>SUM(G11:K11)</f>
        <v>586.91</v>
      </c>
    </row>
    <row r="12" spans="1:12" ht="25.5">
      <c r="A12" s="50" t="s">
        <v>145</v>
      </c>
      <c r="B12" s="103">
        <v>38884</v>
      </c>
      <c r="C12" s="28">
        <v>38831</v>
      </c>
      <c r="D12" s="28">
        <v>38833</v>
      </c>
      <c r="E12" s="29" t="s">
        <v>34</v>
      </c>
      <c r="F12" s="21" t="s">
        <v>37</v>
      </c>
      <c r="G12" s="24">
        <f>79.38+22.9</f>
        <v>102.28</v>
      </c>
      <c r="H12" s="24">
        <v>335.69</v>
      </c>
      <c r="I12" s="24">
        <v>570.22</v>
      </c>
      <c r="J12" s="24">
        <v>160</v>
      </c>
      <c r="K12" s="24">
        <v>0</v>
      </c>
      <c r="L12" s="24">
        <f>SUM(G12:K12)</f>
        <v>1168.19</v>
      </c>
    </row>
    <row r="13" spans="1:12" ht="12.75">
      <c r="A13" s="100" t="s">
        <v>240</v>
      </c>
      <c r="B13" s="103">
        <v>38869</v>
      </c>
      <c r="C13" s="101">
        <v>38915</v>
      </c>
      <c r="D13" s="101">
        <v>38919</v>
      </c>
      <c r="E13" s="3" t="s">
        <v>20</v>
      </c>
      <c r="F13" s="3" t="s">
        <v>241</v>
      </c>
      <c r="G13" s="25">
        <v>365.59</v>
      </c>
      <c r="H13" s="25"/>
      <c r="I13" s="25">
        <v>274.88</v>
      </c>
      <c r="J13" s="25">
        <v>220.5</v>
      </c>
      <c r="K13" s="25"/>
      <c r="L13" s="25">
        <f>SUM(G13:K13)</f>
        <v>860.97</v>
      </c>
    </row>
    <row r="14" spans="1:12" ht="12.75">
      <c r="A14" s="100"/>
      <c r="B14" s="103"/>
      <c r="C14" s="101"/>
      <c r="D14" s="101"/>
      <c r="E14" s="3"/>
      <c r="F14" s="3"/>
      <c r="G14" s="24"/>
      <c r="H14" s="24"/>
      <c r="I14" s="24"/>
      <c r="J14" s="24"/>
      <c r="K14" s="24"/>
      <c r="L14" s="24"/>
    </row>
    <row r="15" spans="1:12" ht="12.75">
      <c r="A15" s="2"/>
      <c r="B15" s="2"/>
      <c r="C15" s="2"/>
      <c r="D15" s="2"/>
      <c r="E15" s="3"/>
      <c r="F15" s="19" t="s">
        <v>22</v>
      </c>
      <c r="G15" s="105">
        <f aca="true" t="shared" si="0" ref="G15:L15">SUM(G9:G13)</f>
        <v>1040.9099999999999</v>
      </c>
      <c r="H15" s="105">
        <f t="shared" si="0"/>
        <v>335.69</v>
      </c>
      <c r="I15" s="105">
        <f t="shared" si="0"/>
        <v>1415.63</v>
      </c>
      <c r="J15" s="105">
        <f t="shared" si="0"/>
        <v>727</v>
      </c>
      <c r="K15" s="105">
        <f t="shared" si="0"/>
        <v>0</v>
      </c>
      <c r="L15" s="105">
        <f t="shared" si="0"/>
        <v>3519.2300000000005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20.28125" style="0" bestFit="1" customWidth="1"/>
    <col min="2" max="3" width="11.28125" style="0" bestFit="1" customWidth="1"/>
    <col min="4" max="4" width="11.57421875" style="0" bestFit="1" customWidth="1"/>
    <col min="5" max="5" width="16.00390625" style="0" bestFit="1" customWidth="1"/>
    <col min="6" max="6" width="31.00390625" style="0" bestFit="1" customWidth="1"/>
    <col min="7" max="7" width="10.28125" style="0" bestFit="1" customWidth="1"/>
    <col min="8" max="8" width="10.8515625" style="0" bestFit="1" customWidth="1"/>
    <col min="9" max="9" width="11.28125" style="0" bestFit="1" customWidth="1"/>
    <col min="10" max="11" width="10.421875" style="0" bestFit="1" customWidth="1"/>
    <col min="12" max="12" width="11.28125" style="0" bestFit="1" customWidth="1"/>
  </cols>
  <sheetData>
    <row r="1" spans="1:12" ht="12.75">
      <c r="A1" s="1" t="s">
        <v>42</v>
      </c>
      <c r="B1" s="2">
        <v>963</v>
      </c>
      <c r="C1" s="2"/>
      <c r="D1" s="2"/>
      <c r="E1" s="3"/>
      <c r="F1" s="1" t="s">
        <v>47</v>
      </c>
      <c r="G1" s="2"/>
      <c r="H1" s="2"/>
      <c r="I1" s="2"/>
      <c r="J1" s="2"/>
      <c r="K1" s="2"/>
      <c r="L1" s="2"/>
    </row>
    <row r="2" spans="1:12" ht="12.75">
      <c r="A2" s="2" t="s">
        <v>43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18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ht="12.75">
      <c r="A9" s="32" t="s">
        <v>283</v>
      </c>
      <c r="B9" s="53">
        <v>38644</v>
      </c>
      <c r="C9" s="33">
        <v>38646</v>
      </c>
      <c r="D9" s="33">
        <v>38652</v>
      </c>
      <c r="E9" s="20" t="s">
        <v>91</v>
      </c>
      <c r="F9" s="20" t="s">
        <v>146</v>
      </c>
      <c r="G9" s="40"/>
      <c r="H9" s="40"/>
      <c r="I9" s="40">
        <v>447.26</v>
      </c>
      <c r="J9" s="40">
        <v>201.5</v>
      </c>
      <c r="K9" s="40">
        <v>250</v>
      </c>
      <c r="L9" s="34">
        <f>SUM(G9:K9)</f>
        <v>898.76</v>
      </c>
    </row>
    <row r="10" spans="1:12" ht="29.25" customHeight="1">
      <c r="A10" s="48" t="s">
        <v>149</v>
      </c>
      <c r="B10" s="33">
        <v>38756</v>
      </c>
      <c r="C10" s="33">
        <v>38691</v>
      </c>
      <c r="D10" s="33">
        <v>38693</v>
      </c>
      <c r="E10" s="20" t="s">
        <v>116</v>
      </c>
      <c r="F10" s="21" t="s">
        <v>119</v>
      </c>
      <c r="G10" s="24">
        <v>77.02</v>
      </c>
      <c r="H10" s="24">
        <v>634.31</v>
      </c>
      <c r="I10" s="24">
        <v>225.72</v>
      </c>
      <c r="J10" s="24">
        <v>147.5</v>
      </c>
      <c r="K10" s="24">
        <v>0</v>
      </c>
      <c r="L10" s="34">
        <f>SUM(G10:K10)</f>
        <v>1084.55</v>
      </c>
    </row>
    <row r="11" spans="1:12" ht="25.5">
      <c r="A11" s="32" t="s">
        <v>152</v>
      </c>
      <c r="B11" s="53">
        <v>38742</v>
      </c>
      <c r="C11" s="33">
        <v>38760</v>
      </c>
      <c r="D11" s="33">
        <v>38764</v>
      </c>
      <c r="E11" s="20" t="s">
        <v>34</v>
      </c>
      <c r="F11" s="56" t="s">
        <v>211</v>
      </c>
      <c r="G11" s="40">
        <v>72.18</v>
      </c>
      <c r="H11" s="40">
        <v>231.7</v>
      </c>
      <c r="I11" s="40">
        <v>856.48</v>
      </c>
      <c r="J11" s="40">
        <v>288</v>
      </c>
      <c r="K11" s="40">
        <v>30</v>
      </c>
      <c r="L11" s="34">
        <f>SUM(G11:K11)</f>
        <v>1478.3600000000001</v>
      </c>
    </row>
    <row r="12" spans="1:12" ht="38.25">
      <c r="A12" s="48" t="s">
        <v>150</v>
      </c>
      <c r="B12" s="61">
        <v>38924</v>
      </c>
      <c r="C12" s="53">
        <v>38872</v>
      </c>
      <c r="D12" s="53">
        <v>38880</v>
      </c>
      <c r="E12" s="29" t="s">
        <v>148</v>
      </c>
      <c r="F12" s="56" t="s">
        <v>282</v>
      </c>
      <c r="G12" s="40">
        <v>4.5</v>
      </c>
      <c r="H12" s="40">
        <v>506.6</v>
      </c>
      <c r="I12" s="40">
        <v>0</v>
      </c>
      <c r="J12" s="40">
        <v>377.75</v>
      </c>
      <c r="K12" s="40">
        <v>0</v>
      </c>
      <c r="L12" s="34">
        <f>SUM(G12:K12)</f>
        <v>888.85</v>
      </c>
    </row>
    <row r="13" spans="1:12" ht="12.75">
      <c r="A13" s="48" t="s">
        <v>151</v>
      </c>
      <c r="B13" s="62">
        <v>38980</v>
      </c>
      <c r="C13" s="62">
        <v>38912</v>
      </c>
      <c r="D13" s="62">
        <v>38914</v>
      </c>
      <c r="E13" s="31" t="s">
        <v>91</v>
      </c>
      <c r="F13" s="31" t="s">
        <v>147</v>
      </c>
      <c r="G13" s="41">
        <v>478.82</v>
      </c>
      <c r="H13" s="41">
        <v>0</v>
      </c>
      <c r="I13" s="41">
        <v>490.06</v>
      </c>
      <c r="J13" s="41">
        <v>97.5</v>
      </c>
      <c r="K13" s="41">
        <v>0</v>
      </c>
      <c r="L13" s="57">
        <f>SUM(G13:K13)</f>
        <v>1066.38</v>
      </c>
    </row>
    <row r="14" spans="1:12" ht="12.75">
      <c r="A14" s="51"/>
      <c r="B14" s="63"/>
      <c r="C14" s="63"/>
      <c r="D14" s="63"/>
      <c r="E14" s="3"/>
      <c r="F14" s="3"/>
      <c r="G14" s="23"/>
      <c r="H14" s="23"/>
      <c r="I14" s="23"/>
      <c r="J14" s="23"/>
      <c r="K14" s="23"/>
      <c r="L14" s="23"/>
    </row>
    <row r="15" spans="1:12" ht="12.75">
      <c r="A15" s="2"/>
      <c r="B15" s="63"/>
      <c r="C15" s="63"/>
      <c r="D15" s="63"/>
      <c r="E15" s="3"/>
      <c r="F15" s="19" t="s">
        <v>22</v>
      </c>
      <c r="G15" s="105">
        <f aca="true" t="shared" si="0" ref="G15:L15">SUM(G9:G13)</f>
        <v>632.52</v>
      </c>
      <c r="H15" s="105">
        <f t="shared" si="0"/>
        <v>1372.6100000000001</v>
      </c>
      <c r="I15" s="105">
        <f t="shared" si="0"/>
        <v>2019.52</v>
      </c>
      <c r="J15" s="105">
        <f t="shared" si="0"/>
        <v>1112.25</v>
      </c>
      <c r="K15" s="105">
        <f t="shared" si="0"/>
        <v>280</v>
      </c>
      <c r="L15" s="105">
        <f t="shared" si="0"/>
        <v>5416.900000000001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0.140625" style="0" bestFit="1" customWidth="1"/>
    <col min="3" max="4" width="11.00390625" style="0" bestFit="1" customWidth="1"/>
    <col min="5" max="5" width="22.8515625" style="0" bestFit="1" customWidth="1"/>
    <col min="6" max="6" width="38.57421875" style="0" bestFit="1" customWidth="1"/>
    <col min="7" max="7" width="8.28125" style="0" bestFit="1" customWidth="1"/>
    <col min="8" max="8" width="6.421875" style="0" bestFit="1" customWidth="1"/>
    <col min="9" max="10" width="9.28125" style="0" bestFit="1" customWidth="1"/>
    <col min="11" max="11" width="8.8515625" style="0" bestFit="1" customWidth="1"/>
    <col min="12" max="12" width="9.421875" style="0" bestFit="1" customWidth="1"/>
  </cols>
  <sheetData>
    <row r="1" spans="1:6" s="2" customFormat="1" ht="12.75" customHeight="1">
      <c r="A1" s="1" t="s">
        <v>16</v>
      </c>
      <c r="C1" s="2">
        <v>956</v>
      </c>
      <c r="E1" s="3"/>
      <c r="F1" s="19" t="s">
        <v>48</v>
      </c>
    </row>
    <row r="2" spans="1:6" s="2" customFormat="1" ht="12.75" customHeight="1">
      <c r="A2" s="2" t="s">
        <v>0</v>
      </c>
      <c r="E2" s="3"/>
      <c r="F2" s="3"/>
    </row>
    <row r="3" spans="1:6" s="2" customFormat="1" ht="12.75" customHeight="1">
      <c r="A3" s="2" t="s">
        <v>1</v>
      </c>
      <c r="E3" s="3"/>
      <c r="F3" s="3"/>
    </row>
    <row r="4" spans="1:6" s="2" customFormat="1" ht="12.75" customHeight="1">
      <c r="A4" s="2" t="s">
        <v>17</v>
      </c>
      <c r="E4" s="3"/>
      <c r="F4" s="3"/>
    </row>
    <row r="5" spans="5:6" s="2" customFormat="1" ht="12.75" customHeight="1">
      <c r="E5" s="3"/>
      <c r="F5" s="3"/>
    </row>
    <row r="6" spans="5:6" s="2" customFormat="1" ht="12.75" customHeight="1" thickBot="1">
      <c r="E6" s="3"/>
      <c r="F6" s="3"/>
    </row>
    <row r="7" spans="1:12" s="2" customFormat="1" ht="12.75" customHeight="1">
      <c r="A7" s="4" t="s">
        <v>18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s="2" customFormat="1" ht="12.75" customHeight="1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s="2" customFormat="1" ht="12.75" customHeight="1">
      <c r="A9" t="s">
        <v>19</v>
      </c>
      <c r="B9" s="107">
        <v>38884</v>
      </c>
      <c r="C9" s="108">
        <v>38673</v>
      </c>
      <c r="D9" s="108">
        <v>38676</v>
      </c>
      <c r="E9" s="20" t="s">
        <v>20</v>
      </c>
      <c r="F9" s="20" t="s">
        <v>21</v>
      </c>
      <c r="G9" s="109">
        <v>455.79</v>
      </c>
      <c r="H9" s="109">
        <v>0</v>
      </c>
      <c r="I9" s="109">
        <v>257.77</v>
      </c>
      <c r="J9" s="109">
        <v>154</v>
      </c>
      <c r="K9" s="109">
        <v>0</v>
      </c>
      <c r="L9" s="109">
        <f>SUM(G9:K9)</f>
        <v>867.56</v>
      </c>
    </row>
    <row r="10" spans="5:12" s="2" customFormat="1" ht="12.75" customHeight="1">
      <c r="E10" s="3"/>
      <c r="F10" s="3"/>
      <c r="G10" s="106"/>
      <c r="H10" s="106"/>
      <c r="I10" s="106"/>
      <c r="J10" s="106"/>
      <c r="K10" s="106"/>
      <c r="L10" s="106"/>
    </row>
    <row r="11" spans="5:12" s="2" customFormat="1" ht="12.75" customHeight="1">
      <c r="E11" s="3"/>
      <c r="F11" s="19" t="s">
        <v>22</v>
      </c>
      <c r="G11" s="37">
        <f aca="true" t="shared" si="0" ref="G11:L11">SUM(G9:G10)</f>
        <v>455.79</v>
      </c>
      <c r="H11" s="37">
        <f t="shared" si="0"/>
        <v>0</v>
      </c>
      <c r="I11" s="37">
        <f t="shared" si="0"/>
        <v>257.77</v>
      </c>
      <c r="J11" s="37">
        <f t="shared" si="0"/>
        <v>154</v>
      </c>
      <c r="K11" s="37">
        <f t="shared" si="0"/>
        <v>0</v>
      </c>
      <c r="L11" s="37">
        <f t="shared" si="0"/>
        <v>867.56</v>
      </c>
    </row>
    <row r="12" spans="5:6" s="2" customFormat="1" ht="12.75" customHeight="1">
      <c r="E12" s="3"/>
      <c r="F12" s="3"/>
    </row>
    <row r="13" spans="5:6" s="2" customFormat="1" ht="12.75" customHeight="1">
      <c r="E13" s="3"/>
      <c r="F13" s="3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8.00390625" style="0" bestFit="1" customWidth="1"/>
    <col min="2" max="2" width="11.140625" style="0" bestFit="1" customWidth="1"/>
    <col min="3" max="3" width="10.57421875" style="0" bestFit="1" customWidth="1"/>
    <col min="4" max="4" width="11.28125" style="0" bestFit="1" customWidth="1"/>
    <col min="5" max="5" width="17.8515625" style="0" bestFit="1" customWidth="1"/>
    <col min="6" max="6" width="37.28125" style="0" bestFit="1" customWidth="1"/>
    <col min="7" max="7" width="10.421875" style="0" bestFit="1" customWidth="1"/>
    <col min="8" max="8" width="11.140625" style="0" bestFit="1" customWidth="1"/>
    <col min="9" max="9" width="10.8515625" style="0" bestFit="1" customWidth="1"/>
    <col min="10" max="10" width="9.8515625" style="0" bestFit="1" customWidth="1"/>
    <col min="11" max="11" width="10.421875" style="0" bestFit="1" customWidth="1"/>
    <col min="12" max="12" width="12.00390625" style="0" bestFit="1" customWidth="1"/>
  </cols>
  <sheetData>
    <row r="1" spans="1:12" ht="12.75">
      <c r="A1" s="1" t="s">
        <v>23</v>
      </c>
      <c r="B1" s="2"/>
      <c r="C1" s="2">
        <v>8803</v>
      </c>
      <c r="D1" s="2"/>
      <c r="E1" s="3"/>
      <c r="F1" s="19" t="s">
        <v>68</v>
      </c>
      <c r="G1" s="2"/>
      <c r="H1" s="2"/>
      <c r="I1" s="2"/>
      <c r="J1" s="2"/>
      <c r="K1" s="2"/>
      <c r="L1" s="2"/>
    </row>
    <row r="2" spans="1:12" ht="12.75">
      <c r="A2" s="2" t="s">
        <v>24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18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ht="12.75">
      <c r="A9" t="s">
        <v>25</v>
      </c>
      <c r="B9" s="107">
        <v>38756</v>
      </c>
      <c r="C9" s="108">
        <v>38658</v>
      </c>
      <c r="D9" s="108">
        <v>38662</v>
      </c>
      <c r="E9" s="20" t="s">
        <v>27</v>
      </c>
      <c r="F9" s="20" t="s">
        <v>26</v>
      </c>
      <c r="G9" s="24">
        <v>27.12</v>
      </c>
      <c r="H9" s="24">
        <v>563.8</v>
      </c>
      <c r="I9" s="24">
        <v>617.44</v>
      </c>
      <c r="J9" s="24">
        <v>220.5</v>
      </c>
      <c r="K9" s="24">
        <f>35+26</f>
        <v>61</v>
      </c>
      <c r="L9" s="24">
        <f>SUM(G9:K9)</f>
        <v>1489.8600000000001</v>
      </c>
    </row>
    <row r="10" spans="1:12" ht="25.5">
      <c r="A10" t="s">
        <v>243</v>
      </c>
      <c r="B10" s="18">
        <v>38910</v>
      </c>
      <c r="C10" s="18">
        <v>38854</v>
      </c>
      <c r="D10" s="18">
        <v>38856</v>
      </c>
      <c r="E10" s="3" t="s">
        <v>34</v>
      </c>
      <c r="F10" s="21" t="s">
        <v>244</v>
      </c>
      <c r="G10" s="24">
        <f>55+24.92</f>
        <v>79.92</v>
      </c>
      <c r="H10" s="24">
        <v>283.69</v>
      </c>
      <c r="I10" s="24">
        <v>543.49</v>
      </c>
      <c r="J10" s="24">
        <v>160</v>
      </c>
      <c r="K10" s="24">
        <v>19.9</v>
      </c>
      <c r="L10" s="24">
        <f>SUM(G10:K10)</f>
        <v>1087</v>
      </c>
    </row>
    <row r="11" spans="1:12" ht="12.75">
      <c r="A11" t="s">
        <v>29</v>
      </c>
      <c r="B11" s="18">
        <v>38924</v>
      </c>
      <c r="C11" s="18">
        <v>38885</v>
      </c>
      <c r="D11" s="18">
        <v>38890</v>
      </c>
      <c r="E11" s="3" t="s">
        <v>30</v>
      </c>
      <c r="F11" s="20" t="s">
        <v>80</v>
      </c>
      <c r="G11" s="25">
        <v>95.38</v>
      </c>
      <c r="H11" s="25">
        <v>446.7</v>
      </c>
      <c r="I11" s="25">
        <v>318.28</v>
      </c>
      <c r="J11" s="25">
        <v>214.5</v>
      </c>
      <c r="K11" s="25">
        <v>417.5</v>
      </c>
      <c r="L11" s="25">
        <f>SUM(G11:K11)</f>
        <v>1492.36</v>
      </c>
    </row>
    <row r="12" spans="1:12" ht="12.75">
      <c r="A12" s="2"/>
      <c r="B12" s="2"/>
      <c r="C12" s="2"/>
      <c r="D12" s="2"/>
      <c r="E12" s="3"/>
      <c r="F12" s="3"/>
      <c r="G12" s="23"/>
      <c r="H12" s="23"/>
      <c r="I12" s="23"/>
      <c r="J12" s="23"/>
      <c r="K12" s="23"/>
      <c r="L12" s="23"/>
    </row>
    <row r="13" spans="1:12" ht="12.75">
      <c r="A13" s="2"/>
      <c r="B13" s="2"/>
      <c r="C13" s="2"/>
      <c r="D13" s="2"/>
      <c r="E13" s="3"/>
      <c r="F13" s="19" t="s">
        <v>22</v>
      </c>
      <c r="G13" s="105">
        <f aca="true" t="shared" si="0" ref="G13:L13">SUM(G9:G12)</f>
        <v>202.42000000000002</v>
      </c>
      <c r="H13" s="105">
        <f t="shared" si="0"/>
        <v>1294.19</v>
      </c>
      <c r="I13" s="105">
        <f t="shared" si="0"/>
        <v>1479.21</v>
      </c>
      <c r="J13" s="105">
        <f t="shared" si="0"/>
        <v>595</v>
      </c>
      <c r="K13" s="105">
        <f t="shared" si="0"/>
        <v>498.4</v>
      </c>
      <c r="L13" s="105">
        <f t="shared" si="0"/>
        <v>4069.2200000000003</v>
      </c>
    </row>
    <row r="14" spans="1:12" ht="12.75">
      <c r="A14" s="2"/>
      <c r="B14" s="2"/>
      <c r="C14" s="2"/>
      <c r="D14" s="2"/>
      <c r="E14" s="3"/>
      <c r="F14" s="3"/>
      <c r="G14" s="2"/>
      <c r="H14" s="2"/>
      <c r="I14" s="2"/>
      <c r="J14" s="2"/>
      <c r="K14" s="2"/>
      <c r="L14" s="2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1.57421875" style="26" bestFit="1" customWidth="1"/>
    <col min="2" max="2" width="11.140625" style="26" bestFit="1" customWidth="1"/>
    <col min="3" max="4" width="11.421875" style="26" bestFit="1" customWidth="1"/>
    <col min="5" max="5" width="16.7109375" style="26" bestFit="1" customWidth="1"/>
    <col min="6" max="6" width="40.421875" style="26" customWidth="1"/>
    <col min="7" max="7" width="9.8515625" style="26" bestFit="1" customWidth="1"/>
    <col min="8" max="8" width="12.00390625" style="26" bestFit="1" customWidth="1"/>
    <col min="9" max="9" width="11.57421875" style="26" bestFit="1" customWidth="1"/>
    <col min="10" max="10" width="11.28125" style="26" bestFit="1" customWidth="1"/>
    <col min="11" max="11" width="9.7109375" style="26" bestFit="1" customWidth="1"/>
    <col min="12" max="12" width="11.28125" style="26" bestFit="1" customWidth="1"/>
    <col min="13" max="14" width="9.421875" style="26" hidden="1" customWidth="1"/>
    <col min="15" max="16384" width="9.140625" style="26" customWidth="1"/>
  </cols>
  <sheetData>
    <row r="1" spans="1:12" ht="12.75">
      <c r="A1" s="70" t="s">
        <v>31</v>
      </c>
      <c r="B1" s="42"/>
      <c r="C1" s="42">
        <v>14723</v>
      </c>
      <c r="D1" s="42"/>
      <c r="E1" s="31"/>
      <c r="F1" s="44" t="s">
        <v>57</v>
      </c>
      <c r="G1" s="42"/>
      <c r="H1" s="42"/>
      <c r="I1" s="42"/>
      <c r="J1" s="42"/>
      <c r="K1" s="42"/>
      <c r="L1" s="42"/>
    </row>
    <row r="2" spans="1:12" ht="12.75">
      <c r="A2" s="42" t="s">
        <v>32</v>
      </c>
      <c r="B2" s="42"/>
      <c r="C2" s="42"/>
      <c r="D2" s="42"/>
      <c r="E2" s="31"/>
      <c r="F2" s="31"/>
      <c r="G2" s="42"/>
      <c r="H2" s="42"/>
      <c r="I2" s="42"/>
      <c r="J2" s="42"/>
      <c r="K2" s="42"/>
      <c r="L2" s="42"/>
    </row>
    <row r="3" spans="1:12" ht="12.75">
      <c r="A3" s="42" t="s">
        <v>1</v>
      </c>
      <c r="B3" s="42"/>
      <c r="C3" s="42"/>
      <c r="D3" s="42"/>
      <c r="E3" s="31"/>
      <c r="F3" s="31"/>
      <c r="G3" s="42"/>
      <c r="H3" s="42"/>
      <c r="I3" s="42"/>
      <c r="J3" s="42"/>
      <c r="K3" s="42"/>
      <c r="L3" s="42"/>
    </row>
    <row r="4" spans="1:12" ht="12.75">
      <c r="A4" s="42" t="s">
        <v>17</v>
      </c>
      <c r="B4" s="42"/>
      <c r="C4" s="42"/>
      <c r="D4" s="42"/>
      <c r="E4" s="31"/>
      <c r="F4" s="31"/>
      <c r="G4" s="42"/>
      <c r="H4" s="42"/>
      <c r="I4" s="42"/>
      <c r="J4" s="42"/>
      <c r="K4" s="42"/>
      <c r="L4" s="42"/>
    </row>
    <row r="5" spans="1:12" ht="12.75">
      <c r="A5" s="42"/>
      <c r="B5" s="42"/>
      <c r="C5" s="42"/>
      <c r="D5" s="42"/>
      <c r="E5" s="31"/>
      <c r="F5" s="31"/>
      <c r="G5" s="42"/>
      <c r="H5" s="42"/>
      <c r="I5" s="42"/>
      <c r="J5" s="42"/>
      <c r="K5" s="42"/>
      <c r="L5" s="42"/>
    </row>
    <row r="6" spans="1:14" ht="13.5" thickBot="1">
      <c r="A6" s="42"/>
      <c r="B6" s="42"/>
      <c r="C6" s="42"/>
      <c r="D6" s="42"/>
      <c r="E6" s="31"/>
      <c r="F6" s="31"/>
      <c r="G6" s="42"/>
      <c r="H6" s="42"/>
      <c r="I6" s="42"/>
      <c r="J6" s="42"/>
      <c r="K6" s="42"/>
      <c r="L6" s="42"/>
      <c r="M6" s="26" t="s">
        <v>217</v>
      </c>
      <c r="N6" s="26" t="s">
        <v>214</v>
      </c>
    </row>
    <row r="7" spans="1:12" ht="12.75">
      <c r="A7" s="71" t="s">
        <v>18</v>
      </c>
      <c r="B7" s="72" t="s">
        <v>2</v>
      </c>
      <c r="C7" s="73" t="s">
        <v>3</v>
      </c>
      <c r="D7" s="73"/>
      <c r="E7" s="74" t="s">
        <v>4</v>
      </c>
      <c r="F7" s="75" t="s">
        <v>5</v>
      </c>
      <c r="G7" s="74" t="s">
        <v>6</v>
      </c>
      <c r="H7" s="75" t="s">
        <v>7</v>
      </c>
      <c r="I7" s="76" t="s">
        <v>8</v>
      </c>
      <c r="J7" s="73" t="s">
        <v>9</v>
      </c>
      <c r="K7" s="76" t="s">
        <v>10</v>
      </c>
      <c r="L7" s="76" t="s">
        <v>11</v>
      </c>
    </row>
    <row r="8" spans="1:12" ht="13.5" thickBot="1">
      <c r="A8" s="77" t="s">
        <v>12</v>
      </c>
      <c r="B8" s="78" t="s">
        <v>13</v>
      </c>
      <c r="C8" s="79" t="s">
        <v>13</v>
      </c>
      <c r="D8" s="79"/>
      <c r="E8" s="80"/>
      <c r="F8" s="81"/>
      <c r="G8" s="80" t="s">
        <v>14</v>
      </c>
      <c r="H8" s="82"/>
      <c r="I8" s="98"/>
      <c r="J8" s="87" t="s">
        <v>15</v>
      </c>
      <c r="K8" s="78"/>
      <c r="L8" s="88"/>
    </row>
    <row r="9" spans="1:14" ht="25.5">
      <c r="A9" s="52" t="s">
        <v>35</v>
      </c>
      <c r="B9" s="39">
        <v>38665</v>
      </c>
      <c r="C9" s="39">
        <v>38673</v>
      </c>
      <c r="D9" s="39">
        <v>38676</v>
      </c>
      <c r="E9" s="29" t="s">
        <v>36</v>
      </c>
      <c r="F9" s="56" t="s">
        <v>122</v>
      </c>
      <c r="G9" s="40">
        <v>383.49</v>
      </c>
      <c r="H9" s="40"/>
      <c r="I9" s="40">
        <v>268.62</v>
      </c>
      <c r="J9" s="40">
        <v>171.5</v>
      </c>
      <c r="K9" s="40"/>
      <c r="L9" s="40">
        <f>SUM(G9:K9)</f>
        <v>823.61</v>
      </c>
      <c r="M9" s="26">
        <v>823.61</v>
      </c>
      <c r="N9" s="26">
        <v>46252</v>
      </c>
    </row>
    <row r="10" spans="1:12" ht="12.75">
      <c r="A10" s="26" t="s">
        <v>33</v>
      </c>
      <c r="B10" s="38">
        <v>38828</v>
      </c>
      <c r="C10" s="39">
        <v>38831</v>
      </c>
      <c r="D10" s="39">
        <v>38833</v>
      </c>
      <c r="E10" s="29" t="s">
        <v>34</v>
      </c>
      <c r="F10" s="29" t="s">
        <v>37</v>
      </c>
      <c r="G10" s="40">
        <v>102.68</v>
      </c>
      <c r="H10" s="40">
        <v>505.69</v>
      </c>
      <c r="I10" s="40"/>
      <c r="J10" s="40">
        <v>160</v>
      </c>
      <c r="K10" s="40">
        <f>17.33+52</f>
        <v>69.33</v>
      </c>
      <c r="L10" s="40">
        <f>SUM(G10:K10)</f>
        <v>837.7</v>
      </c>
    </row>
    <row r="11" spans="1:12" ht="38.25" customHeight="1">
      <c r="A11" s="26" t="s">
        <v>38</v>
      </c>
      <c r="B11" s="38">
        <v>38849</v>
      </c>
      <c r="C11" s="39">
        <v>38857</v>
      </c>
      <c r="D11" s="39">
        <v>38864</v>
      </c>
      <c r="E11" s="29" t="s">
        <v>39</v>
      </c>
      <c r="F11" s="56" t="s">
        <v>284</v>
      </c>
      <c r="G11" s="41">
        <v>102.68</v>
      </c>
      <c r="H11" s="41">
        <v>1532.91</v>
      </c>
      <c r="I11" s="41">
        <v>1129.74</v>
      </c>
      <c r="J11" s="41">
        <v>720</v>
      </c>
      <c r="K11" s="41">
        <v>72.03</v>
      </c>
      <c r="L11" s="41">
        <f>SUM(G11:K11)</f>
        <v>3557.36</v>
      </c>
    </row>
    <row r="12" spans="1:12" ht="12.75">
      <c r="A12" s="42"/>
      <c r="B12" s="42"/>
      <c r="C12" s="42"/>
      <c r="D12" s="42"/>
      <c r="E12" s="31"/>
      <c r="F12" s="31"/>
      <c r="G12" s="43"/>
      <c r="H12" s="43"/>
      <c r="I12" s="43"/>
      <c r="J12" s="43"/>
      <c r="K12" s="43"/>
      <c r="L12" s="43"/>
    </row>
    <row r="13" spans="1:12" ht="12.75">
      <c r="A13" s="42"/>
      <c r="B13" s="42"/>
      <c r="C13" s="42"/>
      <c r="D13" s="42"/>
      <c r="E13" s="31"/>
      <c r="F13" s="44" t="s">
        <v>22</v>
      </c>
      <c r="G13" s="113">
        <f aca="true" t="shared" si="0" ref="G13:L13">SUM(G9:G12)</f>
        <v>588.85</v>
      </c>
      <c r="H13" s="113">
        <f t="shared" si="0"/>
        <v>2038.6000000000001</v>
      </c>
      <c r="I13" s="113">
        <f t="shared" si="0"/>
        <v>1398.3600000000001</v>
      </c>
      <c r="J13" s="113">
        <f t="shared" si="0"/>
        <v>1051.5</v>
      </c>
      <c r="K13" s="113">
        <f t="shared" si="0"/>
        <v>141.36</v>
      </c>
      <c r="L13" s="113">
        <f t="shared" si="0"/>
        <v>5218.67</v>
      </c>
    </row>
    <row r="14" spans="1:12" ht="12.75">
      <c r="A14" s="42"/>
      <c r="B14" s="42"/>
      <c r="C14" s="42"/>
      <c r="D14" s="42"/>
      <c r="E14" s="31"/>
      <c r="F14" s="31"/>
      <c r="G14" s="42"/>
      <c r="H14" s="42"/>
      <c r="I14" s="42"/>
      <c r="J14" s="42"/>
      <c r="K14" s="42"/>
      <c r="L14" s="42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3"/>
  <colBreaks count="1" manualBreakCount="1">
    <brk id="12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90" zoomScaleNormal="90" zoomScalePageLayoutView="0" workbookViewId="0" topLeftCell="A1">
      <selection activeCell="L22" sqref="L22"/>
    </sheetView>
  </sheetViews>
  <sheetFormatPr defaultColWidth="9.140625" defaultRowHeight="12.75"/>
  <cols>
    <col min="1" max="1" width="20.57421875" style="0" bestFit="1" customWidth="1"/>
    <col min="2" max="3" width="11.8515625" style="0" bestFit="1" customWidth="1"/>
    <col min="4" max="4" width="11.28125" style="0" bestFit="1" customWidth="1"/>
    <col min="5" max="5" width="23.140625" style="0" bestFit="1" customWidth="1"/>
    <col min="6" max="6" width="40.8515625" style="0" customWidth="1"/>
    <col min="7" max="7" width="9.57421875" style="0" bestFit="1" customWidth="1"/>
    <col min="8" max="8" width="11.28125" style="0" bestFit="1" customWidth="1"/>
    <col min="9" max="9" width="11.28125" style="2" bestFit="1" customWidth="1"/>
    <col min="10" max="11" width="11.8515625" style="0" bestFit="1" customWidth="1"/>
    <col min="12" max="12" width="12.28125" style="0" bestFit="1" customWidth="1"/>
    <col min="13" max="13" width="11.28125" style="94" hidden="1" customWidth="1"/>
    <col min="14" max="14" width="12.140625" style="95" hidden="1" customWidth="1"/>
  </cols>
  <sheetData>
    <row r="1" spans="1:12" ht="12.75">
      <c r="A1" s="1" t="s">
        <v>63</v>
      </c>
      <c r="B1" s="2"/>
      <c r="C1" s="2">
        <v>2826</v>
      </c>
      <c r="D1" s="2"/>
      <c r="E1" s="3"/>
      <c r="F1" s="3"/>
      <c r="G1" s="2"/>
      <c r="H1" s="2"/>
      <c r="J1" s="2"/>
      <c r="K1" s="2"/>
      <c r="L1" s="2"/>
    </row>
    <row r="2" spans="1:12" ht="12.75">
      <c r="A2" s="2" t="s">
        <v>64</v>
      </c>
      <c r="B2" s="2"/>
      <c r="C2" s="2"/>
      <c r="D2" s="2"/>
      <c r="E2" s="3"/>
      <c r="F2" s="3"/>
      <c r="G2" s="2"/>
      <c r="H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J3" s="2"/>
      <c r="K3" s="2"/>
      <c r="L3" s="2"/>
    </row>
    <row r="4" spans="1:12" ht="12.75">
      <c r="A4" s="2" t="s">
        <v>17</v>
      </c>
      <c r="B4" s="2"/>
      <c r="C4" s="2"/>
      <c r="D4" s="2"/>
      <c r="E4" s="3"/>
      <c r="F4" s="3"/>
      <c r="G4" s="2"/>
      <c r="H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J6" s="2"/>
      <c r="K6" s="2"/>
      <c r="L6" s="2"/>
    </row>
    <row r="7" spans="1:12" ht="12.75">
      <c r="A7" s="4" t="s">
        <v>18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4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7"/>
      <c r="J8" s="36" t="s">
        <v>15</v>
      </c>
      <c r="K8" s="17"/>
      <c r="L8" s="17"/>
      <c r="M8" s="94" t="s">
        <v>213</v>
      </c>
      <c r="N8" s="95" t="s">
        <v>214</v>
      </c>
    </row>
    <row r="9" spans="1:14" ht="25.5">
      <c r="A9" t="s">
        <v>115</v>
      </c>
      <c r="B9" s="108">
        <v>38651</v>
      </c>
      <c r="C9" s="108">
        <v>38631</v>
      </c>
      <c r="D9" s="108">
        <v>38632</v>
      </c>
      <c r="E9" s="20" t="s">
        <v>88</v>
      </c>
      <c r="F9" s="66" t="s">
        <v>79</v>
      </c>
      <c r="G9" s="40"/>
      <c r="H9" s="40"/>
      <c r="I9" s="40">
        <v>60</v>
      </c>
      <c r="J9" s="64">
        <v>57.34</v>
      </c>
      <c r="K9" s="24"/>
      <c r="L9" s="24">
        <f aca="true" t="shared" si="0" ref="L9:L23">SUM(G9:K9)</f>
        <v>117.34</v>
      </c>
      <c r="M9" s="64">
        <v>57.34</v>
      </c>
      <c r="N9" s="96">
        <v>44820</v>
      </c>
    </row>
    <row r="10" spans="1:14" ht="25.5">
      <c r="A10" s="48" t="s">
        <v>100</v>
      </c>
      <c r="B10" s="108">
        <v>38678</v>
      </c>
      <c r="C10" s="108">
        <v>38654</v>
      </c>
      <c r="D10" s="108">
        <v>38660</v>
      </c>
      <c r="E10" s="20" t="s">
        <v>89</v>
      </c>
      <c r="F10" s="66" t="s">
        <v>102</v>
      </c>
      <c r="G10" s="40"/>
      <c r="H10" s="40"/>
      <c r="I10" s="40">
        <f>143+143</f>
        <v>286</v>
      </c>
      <c r="J10" s="64">
        <f>161.6+161.59</f>
        <v>323.19</v>
      </c>
      <c r="K10" s="24">
        <v>81.55</v>
      </c>
      <c r="L10" s="24">
        <f t="shared" si="0"/>
        <v>690.74</v>
      </c>
      <c r="M10" s="94">
        <v>286</v>
      </c>
      <c r="N10" s="95">
        <v>47541</v>
      </c>
    </row>
    <row r="11" spans="1:14" ht="25.5">
      <c r="A11" t="s">
        <v>104</v>
      </c>
      <c r="B11" s="108">
        <v>38693</v>
      </c>
      <c r="C11" s="108">
        <v>38671</v>
      </c>
      <c r="D11" s="108">
        <v>38674</v>
      </c>
      <c r="E11" s="20" t="s">
        <v>20</v>
      </c>
      <c r="F11" s="21" t="s">
        <v>122</v>
      </c>
      <c r="G11" s="40"/>
      <c r="H11" s="40"/>
      <c r="I11" s="40">
        <f>102.97+102.96</f>
        <v>205.93</v>
      </c>
      <c r="J11" s="64">
        <f>85.75+85.75</f>
        <v>171.5</v>
      </c>
      <c r="K11" s="24"/>
      <c r="L11" s="24">
        <f t="shared" si="0"/>
        <v>377.43</v>
      </c>
      <c r="M11" s="94">
        <v>171.5</v>
      </c>
      <c r="N11" s="95">
        <v>49016</v>
      </c>
    </row>
    <row r="12" spans="1:14" ht="12.75">
      <c r="A12" t="s">
        <v>101</v>
      </c>
      <c r="B12" s="108">
        <v>38756</v>
      </c>
      <c r="C12" s="108">
        <v>38743</v>
      </c>
      <c r="D12" s="108">
        <v>38744</v>
      </c>
      <c r="E12" s="20" t="s">
        <v>34</v>
      </c>
      <c r="F12" s="67" t="s">
        <v>92</v>
      </c>
      <c r="H12" s="40">
        <v>222.3</v>
      </c>
      <c r="I12" s="40">
        <v>1976.32</v>
      </c>
      <c r="J12" s="94">
        <v>672</v>
      </c>
      <c r="K12" s="24">
        <f>271+86.74</f>
        <v>357.74</v>
      </c>
      <c r="L12" s="24">
        <f t="shared" si="0"/>
        <v>3228.3599999999997</v>
      </c>
      <c r="M12" s="94">
        <v>746.86</v>
      </c>
      <c r="N12" s="95">
        <v>56676</v>
      </c>
    </row>
    <row r="13" spans="1:14" ht="12.75">
      <c r="A13" t="s">
        <v>106</v>
      </c>
      <c r="B13" s="108">
        <v>38777</v>
      </c>
      <c r="C13" s="108">
        <v>38762</v>
      </c>
      <c r="D13" s="108">
        <v>38764</v>
      </c>
      <c r="E13" s="20" t="s">
        <v>90</v>
      </c>
      <c r="F13" s="67" t="s">
        <v>95</v>
      </c>
      <c r="G13" s="40"/>
      <c r="H13" s="40">
        <v>310.2</v>
      </c>
      <c r="I13" s="40">
        <v>363.32</v>
      </c>
      <c r="J13" s="64">
        <v>135</v>
      </c>
      <c r="K13" s="24">
        <f>22.62+85</f>
        <v>107.62</v>
      </c>
      <c r="L13" s="24">
        <f t="shared" si="0"/>
        <v>916.14</v>
      </c>
      <c r="M13" s="94">
        <v>220</v>
      </c>
      <c r="N13" s="95">
        <v>59126</v>
      </c>
    </row>
    <row r="14" spans="1:14" ht="12.75">
      <c r="A14" t="s">
        <v>105</v>
      </c>
      <c r="B14" s="108">
        <v>38791</v>
      </c>
      <c r="C14" s="108">
        <v>38773</v>
      </c>
      <c r="D14" s="108">
        <v>38777</v>
      </c>
      <c r="E14" s="20" t="s">
        <v>34</v>
      </c>
      <c r="F14" s="67" t="s">
        <v>215</v>
      </c>
      <c r="G14" s="40"/>
      <c r="H14" s="40">
        <v>274.68</v>
      </c>
      <c r="I14" s="40">
        <v>687</v>
      </c>
      <c r="J14" s="40">
        <v>288</v>
      </c>
      <c r="K14" s="24">
        <f>151+428.04</f>
        <v>579.04</v>
      </c>
      <c r="L14" s="24">
        <f t="shared" si="0"/>
        <v>1828.72</v>
      </c>
      <c r="M14" s="94">
        <v>112.75</v>
      </c>
      <c r="N14" s="95">
        <v>61067</v>
      </c>
    </row>
    <row r="15" spans="1:14" ht="25.5">
      <c r="A15" t="s">
        <v>107</v>
      </c>
      <c r="B15" s="108">
        <v>38812</v>
      </c>
      <c r="C15" s="108">
        <v>38790</v>
      </c>
      <c r="D15" s="108">
        <v>38792</v>
      </c>
      <c r="E15" s="20" t="s">
        <v>36</v>
      </c>
      <c r="F15" s="66" t="s">
        <v>96</v>
      </c>
      <c r="G15" s="40"/>
      <c r="H15" s="40"/>
      <c r="I15" s="40"/>
      <c r="J15" s="40">
        <v>122.5</v>
      </c>
      <c r="K15" s="24">
        <v>163.46</v>
      </c>
      <c r="L15" s="24">
        <f t="shared" si="0"/>
        <v>285.96000000000004</v>
      </c>
      <c r="M15" s="94">
        <v>122.5</v>
      </c>
      <c r="N15" s="95">
        <v>63405</v>
      </c>
    </row>
    <row r="16" spans="1:14" ht="12.75">
      <c r="A16" t="s">
        <v>108</v>
      </c>
      <c r="B16" s="108">
        <v>38819</v>
      </c>
      <c r="C16" s="108">
        <v>38803</v>
      </c>
      <c r="D16" s="108">
        <v>38806</v>
      </c>
      <c r="E16" s="20" t="s">
        <v>87</v>
      </c>
      <c r="F16" s="67" t="s">
        <v>94</v>
      </c>
      <c r="G16" s="40"/>
      <c r="H16" s="40">
        <v>557.7</v>
      </c>
      <c r="I16" s="40"/>
      <c r="J16" s="40">
        <v>224</v>
      </c>
      <c r="K16" s="24">
        <v>101.48</v>
      </c>
      <c r="L16" s="24">
        <f t="shared" si="0"/>
        <v>883.1800000000001</v>
      </c>
      <c r="M16" s="94">
        <v>304</v>
      </c>
      <c r="N16" s="95">
        <v>64277</v>
      </c>
    </row>
    <row r="17" spans="1:14" ht="12.75">
      <c r="A17" t="s">
        <v>110</v>
      </c>
      <c r="B17" s="108">
        <v>38854</v>
      </c>
      <c r="C17" s="108">
        <v>38827</v>
      </c>
      <c r="D17" s="108">
        <v>38828</v>
      </c>
      <c r="E17" s="20" t="s">
        <v>86</v>
      </c>
      <c r="F17" s="29" t="s">
        <v>123</v>
      </c>
      <c r="G17" s="40"/>
      <c r="H17" s="40"/>
      <c r="I17" s="40">
        <v>86.86</v>
      </c>
      <c r="J17" s="40">
        <v>61.25</v>
      </c>
      <c r="K17" s="24"/>
      <c r="L17" s="24">
        <f t="shared" si="0"/>
        <v>148.11</v>
      </c>
      <c r="M17" s="94">
        <v>61.25</v>
      </c>
      <c r="N17" s="95">
        <v>68331</v>
      </c>
    </row>
    <row r="18" spans="1:14" ht="12.75">
      <c r="A18" t="s">
        <v>109</v>
      </c>
      <c r="B18" s="108">
        <v>38849</v>
      </c>
      <c r="C18" s="108">
        <v>38835</v>
      </c>
      <c r="D18" s="108">
        <v>38838</v>
      </c>
      <c r="E18" s="20" t="s">
        <v>77</v>
      </c>
      <c r="F18" s="67" t="s">
        <v>93</v>
      </c>
      <c r="G18" s="40"/>
      <c r="H18" s="40">
        <v>765.7</v>
      </c>
      <c r="I18" s="40">
        <v>409.87</v>
      </c>
      <c r="J18" s="40">
        <v>180.25</v>
      </c>
      <c r="K18" s="24">
        <v>128.41</v>
      </c>
      <c r="L18" s="24">
        <f t="shared" si="0"/>
        <v>1484.2300000000002</v>
      </c>
      <c r="M18" s="94">
        <v>163.46</v>
      </c>
      <c r="N18" s="95">
        <v>67952</v>
      </c>
    </row>
    <row r="19" spans="1:14" ht="12.75">
      <c r="A19" t="s">
        <v>111</v>
      </c>
      <c r="B19" s="108">
        <v>38863</v>
      </c>
      <c r="C19" s="108">
        <v>38844</v>
      </c>
      <c r="D19" s="108">
        <v>38849</v>
      </c>
      <c r="E19" s="20" t="s">
        <v>85</v>
      </c>
      <c r="F19" s="67" t="s">
        <v>92</v>
      </c>
      <c r="G19" s="40"/>
      <c r="H19" s="40">
        <v>369.69</v>
      </c>
      <c r="I19" s="40">
        <v>542</v>
      </c>
      <c r="J19" s="40">
        <v>214.5</v>
      </c>
      <c r="K19" s="24">
        <v>314.06</v>
      </c>
      <c r="L19" s="24">
        <f t="shared" si="0"/>
        <v>1440.25</v>
      </c>
      <c r="M19" s="94">
        <v>153.23</v>
      </c>
      <c r="N19" s="95">
        <v>69601</v>
      </c>
    </row>
    <row r="20" spans="1:14" ht="12.75">
      <c r="A20" t="s">
        <v>29</v>
      </c>
      <c r="B20" s="108">
        <v>38931</v>
      </c>
      <c r="C20" s="108">
        <v>38886</v>
      </c>
      <c r="D20" s="108">
        <v>38890</v>
      </c>
      <c r="E20" s="20" t="s">
        <v>30</v>
      </c>
      <c r="F20" s="67" t="s">
        <v>98</v>
      </c>
      <c r="G20" s="40"/>
      <c r="H20" s="40">
        <v>1178.21</v>
      </c>
      <c r="I20" s="40">
        <v>322.64</v>
      </c>
      <c r="J20" s="40">
        <v>175.5</v>
      </c>
      <c r="K20" s="24">
        <v>747.93</v>
      </c>
      <c r="L20" s="24">
        <f t="shared" si="0"/>
        <v>2424.2799999999997</v>
      </c>
      <c r="M20" s="94">
        <v>166.19</v>
      </c>
      <c r="N20" s="95">
        <v>76542</v>
      </c>
    </row>
    <row r="21" spans="1:14" ht="12.75">
      <c r="A21" t="s">
        <v>113</v>
      </c>
      <c r="B21" s="108">
        <v>38947</v>
      </c>
      <c r="C21" s="108">
        <v>38909</v>
      </c>
      <c r="D21" s="108">
        <v>38912</v>
      </c>
      <c r="E21" s="20" t="s">
        <v>91</v>
      </c>
      <c r="F21" s="67" t="s">
        <v>97</v>
      </c>
      <c r="G21" s="40"/>
      <c r="H21" s="40"/>
      <c r="I21" s="40">
        <v>192.6</v>
      </c>
      <c r="J21" s="40">
        <v>136.5</v>
      </c>
      <c r="K21" s="24"/>
      <c r="L21" s="24">
        <f t="shared" si="0"/>
        <v>329.1</v>
      </c>
      <c r="M21" s="94">
        <v>50.54</v>
      </c>
      <c r="N21" s="95">
        <v>78778</v>
      </c>
    </row>
    <row r="22" spans="1:14" ht="25.5">
      <c r="A22" t="s">
        <v>112</v>
      </c>
      <c r="B22" s="108">
        <v>38938</v>
      </c>
      <c r="C22" s="108">
        <v>38924</v>
      </c>
      <c r="D22" s="108">
        <v>38926</v>
      </c>
      <c r="E22" s="20" t="s">
        <v>34</v>
      </c>
      <c r="F22" s="66" t="s">
        <v>99</v>
      </c>
      <c r="G22" s="40"/>
      <c r="H22" s="40">
        <v>335.69</v>
      </c>
      <c r="I22" s="40">
        <v>343.5</v>
      </c>
      <c r="J22" s="40">
        <v>160</v>
      </c>
      <c r="K22" s="24">
        <v>39.5</v>
      </c>
      <c r="L22" s="24">
        <f t="shared" si="0"/>
        <v>878.69</v>
      </c>
      <c r="M22" s="94">
        <v>180</v>
      </c>
      <c r="N22" s="95">
        <v>77351</v>
      </c>
    </row>
    <row r="23" spans="1:14" ht="12.75">
      <c r="A23" t="s">
        <v>114</v>
      </c>
      <c r="B23" s="108">
        <v>38973</v>
      </c>
      <c r="C23" s="108">
        <v>38949</v>
      </c>
      <c r="D23" s="108">
        <v>38950</v>
      </c>
      <c r="E23" s="20" t="s">
        <v>86</v>
      </c>
      <c r="F23" s="67" t="s">
        <v>216</v>
      </c>
      <c r="G23" s="41"/>
      <c r="H23" s="41"/>
      <c r="I23" s="41">
        <v>179</v>
      </c>
      <c r="J23" s="41">
        <v>73.5</v>
      </c>
      <c r="K23" s="25">
        <v>12</v>
      </c>
      <c r="L23" s="25">
        <f t="shared" si="0"/>
        <v>264.5</v>
      </c>
      <c r="M23" s="94">
        <v>73.5</v>
      </c>
      <c r="N23" s="95">
        <v>81955</v>
      </c>
    </row>
    <row r="24" spans="1:12" ht="12.75">
      <c r="A24" s="2"/>
      <c r="B24" s="2"/>
      <c r="C24" s="2"/>
      <c r="D24" s="2"/>
      <c r="E24" s="3"/>
      <c r="F24" s="3"/>
      <c r="G24" s="23"/>
      <c r="H24" s="23"/>
      <c r="I24" s="23"/>
      <c r="J24" s="23"/>
      <c r="K24" s="23"/>
      <c r="L24" s="23"/>
    </row>
    <row r="25" spans="1:12" ht="12.75">
      <c r="A25" s="2"/>
      <c r="B25" s="2"/>
      <c r="C25" s="2"/>
      <c r="D25" s="2"/>
      <c r="E25" s="3"/>
      <c r="F25" s="49" t="s">
        <v>22</v>
      </c>
      <c r="G25" s="105">
        <f aca="true" t="shared" si="1" ref="G25:L25">SUM(G9:G23)</f>
        <v>0</v>
      </c>
      <c r="H25" s="105">
        <f t="shared" si="1"/>
        <v>4014.17</v>
      </c>
      <c r="I25" s="105">
        <f t="shared" si="1"/>
        <v>5655.040000000001</v>
      </c>
      <c r="J25" s="105">
        <f t="shared" si="1"/>
        <v>2995.0299999999997</v>
      </c>
      <c r="K25" s="105">
        <f t="shared" si="1"/>
        <v>2632.79</v>
      </c>
      <c r="L25" s="105">
        <f t="shared" si="1"/>
        <v>15297.030000000002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0.00390625" style="26" bestFit="1" customWidth="1"/>
    <col min="2" max="2" width="10.8515625" style="26" bestFit="1" customWidth="1"/>
    <col min="3" max="3" width="11.28125" style="26" bestFit="1" customWidth="1"/>
    <col min="4" max="4" width="10.8515625" style="26" bestFit="1" customWidth="1"/>
    <col min="5" max="5" width="17.8515625" style="26" bestFit="1" customWidth="1"/>
    <col min="6" max="6" width="37.28125" style="26" bestFit="1" customWidth="1"/>
    <col min="7" max="7" width="9.7109375" style="26" bestFit="1" customWidth="1"/>
    <col min="8" max="8" width="10.00390625" style="26" bestFit="1" customWidth="1"/>
    <col min="9" max="9" width="9.7109375" style="26" bestFit="1" customWidth="1"/>
    <col min="10" max="10" width="9.8515625" style="26" bestFit="1" customWidth="1"/>
    <col min="11" max="11" width="8.421875" style="26" bestFit="1" customWidth="1"/>
    <col min="12" max="12" width="11.140625" style="26" bestFit="1" customWidth="1"/>
    <col min="13" max="16384" width="9.140625" style="26" customWidth="1"/>
  </cols>
  <sheetData>
    <row r="1" spans="1:12" ht="12.75">
      <c r="A1" s="70" t="s">
        <v>40</v>
      </c>
      <c r="B1" s="42"/>
      <c r="C1" s="42">
        <v>13133</v>
      </c>
      <c r="D1" s="42"/>
      <c r="E1" s="31"/>
      <c r="F1" s="44" t="s">
        <v>49</v>
      </c>
      <c r="G1" s="42"/>
      <c r="H1" s="42"/>
      <c r="I1" s="42"/>
      <c r="J1" s="42"/>
      <c r="K1" s="42"/>
      <c r="L1" s="42"/>
    </row>
    <row r="2" spans="1:12" ht="12.75">
      <c r="A2" s="42" t="s">
        <v>41</v>
      </c>
      <c r="B2" s="42"/>
      <c r="C2" s="42"/>
      <c r="D2" s="42"/>
      <c r="E2" s="31"/>
      <c r="F2" s="31"/>
      <c r="G2" s="42"/>
      <c r="H2" s="42"/>
      <c r="I2" s="42"/>
      <c r="J2" s="42"/>
      <c r="K2" s="42"/>
      <c r="L2" s="42"/>
    </row>
    <row r="3" spans="1:12" ht="12.75">
      <c r="A3" s="42" t="s">
        <v>1</v>
      </c>
      <c r="B3" s="42"/>
      <c r="C3" s="42"/>
      <c r="D3" s="42"/>
      <c r="E3" s="31"/>
      <c r="F3" s="31"/>
      <c r="G3" s="42"/>
      <c r="H3" s="42"/>
      <c r="I3" s="42"/>
      <c r="J3" s="42"/>
      <c r="K3" s="42"/>
      <c r="L3" s="42"/>
    </row>
    <row r="4" spans="1:12" ht="12.75">
      <c r="A4" s="42" t="s">
        <v>17</v>
      </c>
      <c r="B4" s="42"/>
      <c r="C4" s="42"/>
      <c r="D4" s="42"/>
      <c r="E4" s="31"/>
      <c r="F4" s="31"/>
      <c r="G4" s="42"/>
      <c r="H4" s="42"/>
      <c r="I4" s="42"/>
      <c r="J4" s="42"/>
      <c r="K4" s="42"/>
      <c r="L4" s="42"/>
    </row>
    <row r="5" spans="1:12" ht="12.75">
      <c r="A5" s="42"/>
      <c r="B5" s="42"/>
      <c r="C5" s="42"/>
      <c r="D5" s="42"/>
      <c r="E5" s="31"/>
      <c r="F5" s="31"/>
      <c r="G5" s="42"/>
      <c r="H5" s="42"/>
      <c r="I5" s="42"/>
      <c r="J5" s="42"/>
      <c r="K5" s="42"/>
      <c r="L5" s="42"/>
    </row>
    <row r="6" spans="1:12" ht="13.5" thickBot="1">
      <c r="A6" s="42"/>
      <c r="B6" s="42"/>
      <c r="C6" s="42"/>
      <c r="D6" s="42"/>
      <c r="E6" s="31"/>
      <c r="F6" s="31"/>
      <c r="G6" s="42"/>
      <c r="H6" s="42"/>
      <c r="I6" s="42"/>
      <c r="J6" s="42"/>
      <c r="K6" s="42"/>
      <c r="L6" s="42"/>
    </row>
    <row r="7" spans="1:12" ht="12.75">
      <c r="A7" s="71" t="s">
        <v>18</v>
      </c>
      <c r="B7" s="72" t="s">
        <v>2</v>
      </c>
      <c r="C7" s="73" t="s">
        <v>3</v>
      </c>
      <c r="D7" s="73"/>
      <c r="E7" s="74" t="s">
        <v>4</v>
      </c>
      <c r="F7" s="75" t="s">
        <v>5</v>
      </c>
      <c r="G7" s="74" t="s">
        <v>6</v>
      </c>
      <c r="H7" s="75" t="s">
        <v>7</v>
      </c>
      <c r="I7" s="76" t="s">
        <v>8</v>
      </c>
      <c r="J7" s="73" t="s">
        <v>9</v>
      </c>
      <c r="K7" s="76" t="s">
        <v>10</v>
      </c>
      <c r="L7" s="76" t="s">
        <v>11</v>
      </c>
    </row>
    <row r="8" spans="1:12" ht="13.5" thickBot="1">
      <c r="A8" s="77" t="s">
        <v>12</v>
      </c>
      <c r="B8" s="78" t="s">
        <v>13</v>
      </c>
      <c r="C8" s="79" t="s">
        <v>13</v>
      </c>
      <c r="D8" s="79"/>
      <c r="E8" s="80"/>
      <c r="F8" s="81"/>
      <c r="G8" s="80" t="s">
        <v>14</v>
      </c>
      <c r="H8" s="82"/>
      <c r="I8" s="83"/>
      <c r="J8" s="84" t="s">
        <v>15</v>
      </c>
      <c r="K8" s="85"/>
      <c r="L8" s="85"/>
    </row>
    <row r="9" spans="1:12" ht="12.75">
      <c r="A9" s="26" t="s">
        <v>69</v>
      </c>
      <c r="B9" s="38">
        <v>38763</v>
      </c>
      <c r="C9" s="39">
        <v>38736</v>
      </c>
      <c r="D9" s="39">
        <v>38737</v>
      </c>
      <c r="E9" s="29" t="s">
        <v>71</v>
      </c>
      <c r="F9" s="29" t="s">
        <v>70</v>
      </c>
      <c r="G9" s="40">
        <v>176.56</v>
      </c>
      <c r="H9" s="40">
        <v>0</v>
      </c>
      <c r="I9" s="40">
        <v>72.37</v>
      </c>
      <c r="J9" s="40">
        <v>58.5</v>
      </c>
      <c r="K9" s="40">
        <v>0</v>
      </c>
      <c r="L9" s="40">
        <f>SUM(G9:K9)</f>
        <v>307.43</v>
      </c>
    </row>
    <row r="10" spans="1:12" ht="12.75">
      <c r="A10" s="26" t="s">
        <v>72</v>
      </c>
      <c r="B10" s="46">
        <v>38820</v>
      </c>
      <c r="C10" s="46">
        <v>38827</v>
      </c>
      <c r="D10" s="46">
        <v>38828</v>
      </c>
      <c r="E10" s="31" t="s">
        <v>73</v>
      </c>
      <c r="F10" s="104" t="s">
        <v>123</v>
      </c>
      <c r="G10" s="40">
        <v>138.28</v>
      </c>
      <c r="H10" s="40"/>
      <c r="I10" s="40">
        <v>86.86</v>
      </c>
      <c r="J10" s="40">
        <v>73.5</v>
      </c>
      <c r="K10" s="40"/>
      <c r="L10" s="40">
        <f>SUM(G10:K10)</f>
        <v>298.64</v>
      </c>
    </row>
    <row r="11" spans="1:12" ht="12.75">
      <c r="A11" s="45" t="s">
        <v>74</v>
      </c>
      <c r="B11" s="46">
        <v>38854</v>
      </c>
      <c r="C11" s="46">
        <v>38867</v>
      </c>
      <c r="D11" s="46">
        <v>38869</v>
      </c>
      <c r="E11" s="31" t="s">
        <v>75</v>
      </c>
      <c r="F11" s="31" t="s">
        <v>210</v>
      </c>
      <c r="G11" s="41">
        <v>137.14</v>
      </c>
      <c r="H11" s="41"/>
      <c r="I11" s="41">
        <v>453.22</v>
      </c>
      <c r="J11" s="41">
        <v>122.5</v>
      </c>
      <c r="K11" s="41"/>
      <c r="L11" s="41">
        <f>SUM(G11:K11)</f>
        <v>712.86</v>
      </c>
    </row>
    <row r="12" spans="1:12" ht="12.75">
      <c r="A12" s="42"/>
      <c r="B12" s="42"/>
      <c r="C12" s="42"/>
      <c r="D12" s="42"/>
      <c r="E12" s="31"/>
      <c r="F12" s="31"/>
      <c r="G12" s="43"/>
      <c r="H12" s="43"/>
      <c r="I12" s="43"/>
      <c r="J12" s="43"/>
      <c r="K12" s="43"/>
      <c r="L12" s="43"/>
    </row>
    <row r="13" spans="1:12" ht="12.75">
      <c r="A13" s="42"/>
      <c r="B13" s="42"/>
      <c r="C13" s="42"/>
      <c r="D13" s="42"/>
      <c r="E13" s="31"/>
      <c r="F13" s="44" t="s">
        <v>22</v>
      </c>
      <c r="G13" s="113">
        <f aca="true" t="shared" si="0" ref="G13:L13">SUM(G9:G12)</f>
        <v>451.98</v>
      </c>
      <c r="H13" s="113">
        <f t="shared" si="0"/>
        <v>0</v>
      </c>
      <c r="I13" s="113">
        <f t="shared" si="0"/>
        <v>612.45</v>
      </c>
      <c r="J13" s="113">
        <f t="shared" si="0"/>
        <v>254.5</v>
      </c>
      <c r="K13" s="113">
        <f t="shared" si="0"/>
        <v>0</v>
      </c>
      <c r="L13" s="113">
        <f t="shared" si="0"/>
        <v>1318.9299999999998</v>
      </c>
    </row>
    <row r="14" spans="1:12" ht="12.75">
      <c r="A14" s="42"/>
      <c r="B14" s="42"/>
      <c r="C14" s="42"/>
      <c r="D14" s="42"/>
      <c r="E14" s="31"/>
      <c r="F14" s="31"/>
      <c r="G14" s="42"/>
      <c r="H14" s="42"/>
      <c r="I14" s="42"/>
      <c r="J14" s="42"/>
      <c r="K14" s="42"/>
      <c r="L14" s="42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="90" zoomScaleNormal="90" zoomScalePageLayoutView="0" workbookViewId="0" topLeftCell="A1">
      <selection activeCell="L9" sqref="L9"/>
    </sheetView>
  </sheetViews>
  <sheetFormatPr defaultColWidth="9.140625" defaultRowHeight="12.75"/>
  <cols>
    <col min="1" max="1" width="20.57421875" style="26" bestFit="1" customWidth="1"/>
    <col min="2" max="2" width="9.8515625" style="26" bestFit="1" customWidth="1"/>
    <col min="3" max="4" width="11.28125" style="26" bestFit="1" customWidth="1"/>
    <col min="5" max="5" width="23.140625" style="26" bestFit="1" customWidth="1"/>
    <col min="6" max="6" width="47.7109375" style="26" bestFit="1" customWidth="1"/>
    <col min="7" max="7" width="10.140625" style="26" bestFit="1" customWidth="1"/>
    <col min="8" max="9" width="11.28125" style="26" bestFit="1" customWidth="1"/>
    <col min="10" max="11" width="9.7109375" style="26" bestFit="1" customWidth="1"/>
    <col min="12" max="12" width="11.28125" style="26" bestFit="1" customWidth="1"/>
    <col min="13" max="16384" width="9.140625" style="26" customWidth="1"/>
  </cols>
  <sheetData>
    <row r="1" spans="1:12" ht="12.75">
      <c r="A1" s="70" t="s">
        <v>65</v>
      </c>
      <c r="B1" s="42"/>
      <c r="C1" s="42">
        <v>799</v>
      </c>
      <c r="D1" s="42"/>
      <c r="E1" s="31"/>
      <c r="F1" s="44" t="s">
        <v>67</v>
      </c>
      <c r="G1" s="42"/>
      <c r="H1" s="42"/>
      <c r="I1" s="42"/>
      <c r="J1" s="42"/>
      <c r="K1" s="42"/>
      <c r="L1" s="42"/>
    </row>
    <row r="2" spans="1:12" ht="12.75">
      <c r="A2" s="42" t="s">
        <v>66</v>
      </c>
      <c r="B2" s="42"/>
      <c r="C2" s="42"/>
      <c r="D2" s="42"/>
      <c r="E2" s="31"/>
      <c r="F2" s="31"/>
      <c r="G2" s="42"/>
      <c r="H2" s="42"/>
      <c r="I2" s="42"/>
      <c r="J2" s="42"/>
      <c r="K2" s="42"/>
      <c r="L2" s="42"/>
    </row>
    <row r="3" spans="1:12" ht="12.75">
      <c r="A3" s="42" t="s">
        <v>1</v>
      </c>
      <c r="B3" s="42"/>
      <c r="C3" s="42"/>
      <c r="D3" s="42"/>
      <c r="E3" s="31"/>
      <c r="F3" s="31"/>
      <c r="G3" s="42"/>
      <c r="H3" s="42"/>
      <c r="I3" s="42"/>
      <c r="J3" s="42"/>
      <c r="K3" s="42"/>
      <c r="L3" s="42"/>
    </row>
    <row r="4" spans="1:12" ht="12.75">
      <c r="A4" s="42" t="s">
        <v>17</v>
      </c>
      <c r="B4" s="42"/>
      <c r="C4" s="42"/>
      <c r="D4" s="42"/>
      <c r="E4" s="31"/>
      <c r="F4" s="31"/>
      <c r="G4" s="42"/>
      <c r="H4" s="42"/>
      <c r="I4" s="42"/>
      <c r="J4" s="42"/>
      <c r="K4" s="42"/>
      <c r="L4" s="42"/>
    </row>
    <row r="5" spans="1:12" ht="12.75">
      <c r="A5" s="42"/>
      <c r="B5" s="42"/>
      <c r="C5" s="42"/>
      <c r="D5" s="42"/>
      <c r="E5" s="31"/>
      <c r="F5" s="31"/>
      <c r="G5" s="42"/>
      <c r="H5" s="42"/>
      <c r="I5" s="42"/>
      <c r="J5" s="42"/>
      <c r="K5" s="42"/>
      <c r="L5" s="42"/>
    </row>
    <row r="6" spans="1:12" ht="13.5" thickBot="1">
      <c r="A6" s="42"/>
      <c r="B6" s="42"/>
      <c r="C6" s="42"/>
      <c r="D6" s="42"/>
      <c r="E6" s="31"/>
      <c r="F6" s="31"/>
      <c r="G6" s="42"/>
      <c r="H6" s="42"/>
      <c r="I6" s="42"/>
      <c r="J6" s="42"/>
      <c r="K6" s="42"/>
      <c r="L6" s="42"/>
    </row>
    <row r="7" spans="1:12" ht="12.75">
      <c r="A7" s="71" t="s">
        <v>18</v>
      </c>
      <c r="B7" s="72" t="s">
        <v>2</v>
      </c>
      <c r="C7" s="73" t="s">
        <v>3</v>
      </c>
      <c r="D7" s="73"/>
      <c r="E7" s="74" t="s">
        <v>4</v>
      </c>
      <c r="F7" s="75" t="s">
        <v>5</v>
      </c>
      <c r="G7" s="74" t="s">
        <v>6</v>
      </c>
      <c r="H7" s="75" t="s">
        <v>7</v>
      </c>
      <c r="I7" s="76" t="s">
        <v>8</v>
      </c>
      <c r="J7" s="73" t="s">
        <v>9</v>
      </c>
      <c r="K7" s="76" t="s">
        <v>10</v>
      </c>
      <c r="L7" s="76" t="s">
        <v>11</v>
      </c>
    </row>
    <row r="8" spans="1:12" ht="13.5" thickBot="1">
      <c r="A8" s="77" t="s">
        <v>12</v>
      </c>
      <c r="B8" s="78" t="s">
        <v>13</v>
      </c>
      <c r="C8" s="79" t="s">
        <v>13</v>
      </c>
      <c r="D8" s="79"/>
      <c r="E8" s="80"/>
      <c r="F8" s="81"/>
      <c r="G8" s="80" t="s">
        <v>14</v>
      </c>
      <c r="H8" s="82"/>
      <c r="I8" s="83"/>
      <c r="J8" s="84" t="s">
        <v>15</v>
      </c>
      <c r="K8" s="85"/>
      <c r="L8" s="85"/>
    </row>
    <row r="9" spans="1:12" ht="12.75">
      <c r="A9" s="52" t="s">
        <v>82</v>
      </c>
      <c r="B9" s="53">
        <v>38623</v>
      </c>
      <c r="C9" s="28">
        <v>38630</v>
      </c>
      <c r="D9" s="28">
        <v>38634</v>
      </c>
      <c r="E9" s="29" t="s">
        <v>76</v>
      </c>
      <c r="F9" s="29" t="s">
        <v>78</v>
      </c>
      <c r="G9" s="40">
        <v>36.14</v>
      </c>
      <c r="H9" s="40">
        <v>453.3</v>
      </c>
      <c r="I9" s="40">
        <v>471.36</v>
      </c>
      <c r="J9" s="40">
        <v>164.5</v>
      </c>
      <c r="K9" s="40">
        <v>54.16</v>
      </c>
      <c r="L9" s="40">
        <f>SUM(G9:K9)</f>
        <v>1179.46</v>
      </c>
    </row>
    <row r="10" spans="1:12" ht="12.75">
      <c r="A10" s="52" t="s">
        <v>81</v>
      </c>
      <c r="B10" s="53">
        <v>38735</v>
      </c>
      <c r="C10" s="28">
        <v>38736</v>
      </c>
      <c r="D10" s="28">
        <v>38737</v>
      </c>
      <c r="E10" s="29" t="s">
        <v>71</v>
      </c>
      <c r="F10" s="29" t="s">
        <v>79</v>
      </c>
      <c r="G10" s="40">
        <v>138</v>
      </c>
      <c r="H10" s="40"/>
      <c r="I10" s="40">
        <v>55</v>
      </c>
      <c r="J10" s="40">
        <v>58.5</v>
      </c>
      <c r="K10" s="40"/>
      <c r="L10" s="40">
        <f>SUM(G10:K10)</f>
        <v>251.5</v>
      </c>
    </row>
    <row r="11" spans="1:12" ht="12.75">
      <c r="A11" s="52" t="s">
        <v>72</v>
      </c>
      <c r="B11" s="53">
        <v>38820</v>
      </c>
      <c r="C11" s="28">
        <v>38827</v>
      </c>
      <c r="D11" s="28">
        <v>38828</v>
      </c>
      <c r="E11" s="29" t="s">
        <v>73</v>
      </c>
      <c r="F11" s="29" t="s">
        <v>123</v>
      </c>
      <c r="G11" s="40">
        <v>118.54</v>
      </c>
      <c r="H11" s="40"/>
      <c r="I11" s="40">
        <v>86.86</v>
      </c>
      <c r="J11" s="40">
        <v>73.5</v>
      </c>
      <c r="K11" s="40"/>
      <c r="L11" s="40">
        <f>SUM(G11:K11)</f>
        <v>278.9</v>
      </c>
    </row>
    <row r="12" spans="1:12" ht="12.75">
      <c r="A12" s="54" t="s">
        <v>29</v>
      </c>
      <c r="B12" s="53">
        <v>38882</v>
      </c>
      <c r="C12" s="28">
        <v>38885</v>
      </c>
      <c r="D12" s="28">
        <v>38890</v>
      </c>
      <c r="E12" s="29" t="s">
        <v>30</v>
      </c>
      <c r="F12" s="29" t="s">
        <v>80</v>
      </c>
      <c r="G12" s="40">
        <f>36.14+37.7</f>
        <v>73.84</v>
      </c>
      <c r="H12" s="40">
        <v>601.9</v>
      </c>
      <c r="I12" s="40">
        <v>318.28</v>
      </c>
      <c r="J12" s="40">
        <v>214.5</v>
      </c>
      <c r="K12" s="40"/>
      <c r="L12" s="40">
        <f>SUM(G12:K12)</f>
        <v>1208.52</v>
      </c>
    </row>
    <row r="13" spans="1:12" ht="26.25" thickBot="1">
      <c r="A13" s="55" t="s">
        <v>83</v>
      </c>
      <c r="B13" s="53">
        <v>38982</v>
      </c>
      <c r="C13" s="28">
        <v>38992</v>
      </c>
      <c r="D13" s="28">
        <v>38996</v>
      </c>
      <c r="E13" s="29" t="s">
        <v>84</v>
      </c>
      <c r="F13" s="56" t="s">
        <v>285</v>
      </c>
      <c r="G13" s="41">
        <f>317.7+36.14</f>
        <v>353.84</v>
      </c>
      <c r="H13" s="41"/>
      <c r="I13" s="41">
        <v>612.44</v>
      </c>
      <c r="J13" s="41">
        <v>265.5</v>
      </c>
      <c r="K13" s="41">
        <v>267.31</v>
      </c>
      <c r="L13" s="114">
        <f>SUM(G13:K13)</f>
        <v>1499.09</v>
      </c>
    </row>
    <row r="14" spans="1:12" ht="12.75">
      <c r="A14" s="42"/>
      <c r="B14" s="42"/>
      <c r="C14" s="42"/>
      <c r="D14" s="42"/>
      <c r="E14" s="31"/>
      <c r="F14" s="44" t="s">
        <v>22</v>
      </c>
      <c r="G14" s="113">
        <f aca="true" t="shared" si="0" ref="G14:L14">SUM(G9:G13)</f>
        <v>720.3599999999999</v>
      </c>
      <c r="H14" s="113">
        <f t="shared" si="0"/>
        <v>1055.2</v>
      </c>
      <c r="I14" s="113">
        <f t="shared" si="0"/>
        <v>1543.94</v>
      </c>
      <c r="J14" s="113">
        <f t="shared" si="0"/>
        <v>776.5</v>
      </c>
      <c r="K14" s="113">
        <f t="shared" si="0"/>
        <v>321.47</v>
      </c>
      <c r="L14" s="113">
        <f t="shared" si="0"/>
        <v>4417.47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2.75"/>
  <cols>
    <col min="1" max="1" width="19.8515625" style="26" bestFit="1" customWidth="1"/>
    <col min="2" max="3" width="11.28125" style="26" bestFit="1" customWidth="1"/>
    <col min="4" max="4" width="11.8515625" style="26" bestFit="1" customWidth="1"/>
    <col min="5" max="5" width="16.7109375" style="26" bestFit="1" customWidth="1"/>
    <col min="6" max="6" width="50.140625" style="26" customWidth="1"/>
    <col min="7" max="8" width="11.28125" style="26" bestFit="1" customWidth="1"/>
    <col min="9" max="9" width="11.8515625" style="26" bestFit="1" customWidth="1"/>
    <col min="10" max="10" width="11.28125" style="26" bestFit="1" customWidth="1"/>
    <col min="11" max="11" width="9.8515625" style="26" bestFit="1" customWidth="1"/>
    <col min="12" max="12" width="12.00390625" style="26" bestFit="1" customWidth="1"/>
    <col min="13" max="13" width="0" style="26" hidden="1" customWidth="1"/>
    <col min="14" max="16384" width="9.140625" style="26" customWidth="1"/>
  </cols>
  <sheetData>
    <row r="1" spans="1:12" ht="12.75">
      <c r="A1" s="70" t="s">
        <v>103</v>
      </c>
      <c r="B1" s="42"/>
      <c r="C1" s="42">
        <v>432</v>
      </c>
      <c r="D1" s="42"/>
      <c r="E1" s="31"/>
      <c r="F1" s="44" t="s">
        <v>62</v>
      </c>
      <c r="G1" s="42"/>
      <c r="H1" s="42"/>
      <c r="I1" s="42"/>
      <c r="J1" s="42"/>
      <c r="K1" s="42"/>
      <c r="L1" s="42"/>
    </row>
    <row r="2" spans="1:12" ht="12.75">
      <c r="A2" s="42" t="s">
        <v>61</v>
      </c>
      <c r="B2" s="42"/>
      <c r="C2" s="42"/>
      <c r="D2" s="42"/>
      <c r="E2" s="31"/>
      <c r="F2" s="31"/>
      <c r="G2" s="42"/>
      <c r="H2" s="42"/>
      <c r="I2" s="42"/>
      <c r="J2" s="42"/>
      <c r="K2" s="42"/>
      <c r="L2" s="42"/>
    </row>
    <row r="3" spans="1:12" ht="12.75">
      <c r="A3" s="42" t="s">
        <v>1</v>
      </c>
      <c r="B3" s="42"/>
      <c r="C3" s="42"/>
      <c r="D3" s="42"/>
      <c r="E3" s="31"/>
      <c r="F3" s="31"/>
      <c r="G3" s="42"/>
      <c r="H3" s="42"/>
      <c r="I3" s="42"/>
      <c r="J3" s="42"/>
      <c r="K3" s="42"/>
      <c r="L3" s="42"/>
    </row>
    <row r="4" spans="1:12" ht="12.75">
      <c r="A4" s="42" t="s">
        <v>17</v>
      </c>
      <c r="B4" s="42"/>
      <c r="C4" s="42"/>
      <c r="D4" s="42"/>
      <c r="E4" s="31"/>
      <c r="F4" s="31"/>
      <c r="G4" s="42"/>
      <c r="H4" s="42"/>
      <c r="I4" s="42"/>
      <c r="J4" s="42"/>
      <c r="K4" s="42"/>
      <c r="L4" s="42"/>
    </row>
    <row r="5" spans="1:12" ht="12.75">
      <c r="A5" s="42"/>
      <c r="B5" s="42"/>
      <c r="C5" s="42"/>
      <c r="D5" s="42"/>
      <c r="E5" s="31"/>
      <c r="F5" s="31"/>
      <c r="G5" s="42"/>
      <c r="H5" s="42"/>
      <c r="I5" s="42"/>
      <c r="J5" s="42"/>
      <c r="K5" s="42"/>
      <c r="L5" s="42"/>
    </row>
    <row r="6" spans="1:12" ht="13.5" thickBot="1">
      <c r="A6" s="42"/>
      <c r="B6" s="42"/>
      <c r="C6" s="42"/>
      <c r="D6" s="42"/>
      <c r="E6" s="31"/>
      <c r="F6" s="31"/>
      <c r="G6" s="42"/>
      <c r="H6" s="42"/>
      <c r="I6" s="42"/>
      <c r="J6" s="42"/>
      <c r="K6" s="42"/>
      <c r="L6" s="42"/>
    </row>
    <row r="7" spans="1:12" ht="12.75">
      <c r="A7" s="71" t="s">
        <v>18</v>
      </c>
      <c r="B7" s="72" t="s">
        <v>2</v>
      </c>
      <c r="C7" s="73" t="s">
        <v>3</v>
      </c>
      <c r="D7" s="73"/>
      <c r="E7" s="74" t="s">
        <v>4</v>
      </c>
      <c r="F7" s="75" t="s">
        <v>5</v>
      </c>
      <c r="G7" s="74" t="s">
        <v>6</v>
      </c>
      <c r="H7" s="75" t="s">
        <v>7</v>
      </c>
      <c r="I7" s="76" t="s">
        <v>8</v>
      </c>
      <c r="J7" s="73" t="s">
        <v>9</v>
      </c>
      <c r="K7" s="76" t="s">
        <v>10</v>
      </c>
      <c r="L7" s="76" t="s">
        <v>11</v>
      </c>
    </row>
    <row r="8" spans="1:12" ht="13.5" thickBot="1">
      <c r="A8" s="77" t="s">
        <v>12</v>
      </c>
      <c r="B8" s="78" t="s">
        <v>13</v>
      </c>
      <c r="C8" s="79" t="s">
        <v>13</v>
      </c>
      <c r="D8" s="79"/>
      <c r="E8" s="80"/>
      <c r="F8" s="81"/>
      <c r="G8" s="80" t="s">
        <v>14</v>
      </c>
      <c r="H8" s="82"/>
      <c r="I8" s="83"/>
      <c r="J8" s="84" t="s">
        <v>15</v>
      </c>
      <c r="K8" s="85"/>
      <c r="L8" s="85"/>
    </row>
    <row r="9" spans="1:13" ht="25.5">
      <c r="A9" s="52" t="s">
        <v>124</v>
      </c>
      <c r="B9" s="53">
        <v>38784</v>
      </c>
      <c r="C9" s="28">
        <v>38690</v>
      </c>
      <c r="D9" s="28">
        <v>38692</v>
      </c>
      <c r="E9" s="29" t="s">
        <v>116</v>
      </c>
      <c r="F9" s="56" t="s">
        <v>119</v>
      </c>
      <c r="G9" s="40">
        <v>53.76</v>
      </c>
      <c r="H9" s="40">
        <v>575.32</v>
      </c>
      <c r="I9" s="40">
        <v>227.1</v>
      </c>
      <c r="J9" s="40">
        <v>147.5</v>
      </c>
      <c r="K9" s="40"/>
      <c r="L9" s="40">
        <f>SUM(G9:K9)</f>
        <v>1003.6800000000001</v>
      </c>
      <c r="M9" s="26" t="s">
        <v>280</v>
      </c>
    </row>
    <row r="10" spans="1:13" ht="12.75">
      <c r="A10" s="50" t="s">
        <v>117</v>
      </c>
      <c r="B10" s="53">
        <v>38889</v>
      </c>
      <c r="C10" s="28">
        <v>38741</v>
      </c>
      <c r="D10" s="28">
        <v>38745</v>
      </c>
      <c r="E10" s="29" t="s">
        <v>34</v>
      </c>
      <c r="F10" s="56" t="s">
        <v>120</v>
      </c>
      <c r="G10" s="40">
        <f>186.68+83.24</f>
        <v>269.92</v>
      </c>
      <c r="H10" s="40">
        <v>335.69</v>
      </c>
      <c r="I10" s="40">
        <v>921.68</v>
      </c>
      <c r="J10" s="40">
        <v>288</v>
      </c>
      <c r="K10" s="40"/>
      <c r="L10" s="40">
        <f>SUM(G10:K10)</f>
        <v>1815.29</v>
      </c>
      <c r="M10" s="45" t="s">
        <v>279</v>
      </c>
    </row>
    <row r="11" spans="1:13" ht="25.5" customHeight="1">
      <c r="A11" s="52" t="s">
        <v>125</v>
      </c>
      <c r="B11" s="53">
        <v>38842</v>
      </c>
      <c r="C11" s="28">
        <v>38885</v>
      </c>
      <c r="D11" s="28">
        <v>38890</v>
      </c>
      <c r="E11" s="29" t="s">
        <v>34</v>
      </c>
      <c r="F11" s="56" t="s">
        <v>121</v>
      </c>
      <c r="G11" s="40">
        <v>53.84</v>
      </c>
      <c r="H11" s="40">
        <v>335.69</v>
      </c>
      <c r="I11" s="40">
        <v>1030.5</v>
      </c>
      <c r="J11" s="40">
        <v>352</v>
      </c>
      <c r="K11" s="40">
        <v>30</v>
      </c>
      <c r="L11" s="40">
        <f>SUM(G11:K11)</f>
        <v>1802.03</v>
      </c>
      <c r="M11" s="45" t="s">
        <v>281</v>
      </c>
    </row>
    <row r="12" spans="1:13" ht="12.75">
      <c r="A12" s="50" t="s">
        <v>118</v>
      </c>
      <c r="B12" s="53">
        <v>38980</v>
      </c>
      <c r="C12" s="28">
        <v>38989</v>
      </c>
      <c r="D12" s="28">
        <v>38990</v>
      </c>
      <c r="E12" s="29" t="s">
        <v>34</v>
      </c>
      <c r="F12" s="29" t="s">
        <v>120</v>
      </c>
      <c r="G12" s="41">
        <f>63.89+34.9+47.08</f>
        <v>145.87</v>
      </c>
      <c r="H12" s="41">
        <v>231.7</v>
      </c>
      <c r="I12" s="41">
        <v>131.2</v>
      </c>
      <c r="J12" s="41">
        <v>96</v>
      </c>
      <c r="K12" s="41"/>
      <c r="L12" s="41">
        <f>SUM(G12:K12)</f>
        <v>604.77</v>
      </c>
      <c r="M12" s="45" t="s">
        <v>278</v>
      </c>
    </row>
    <row r="13" spans="1:12" ht="12.75">
      <c r="A13" s="86"/>
      <c r="B13" s="42"/>
      <c r="C13" s="42"/>
      <c r="D13" s="42"/>
      <c r="E13" s="31"/>
      <c r="F13" s="31"/>
      <c r="G13" s="43"/>
      <c r="H13" s="43"/>
      <c r="I13" s="43"/>
      <c r="J13" s="43"/>
      <c r="K13" s="43"/>
      <c r="L13" s="43"/>
    </row>
    <row r="14" spans="1:12" ht="12.75">
      <c r="A14" s="86"/>
      <c r="B14" s="42"/>
      <c r="C14" s="42"/>
      <c r="D14" s="42"/>
      <c r="E14" s="31"/>
      <c r="F14" s="44" t="s">
        <v>22</v>
      </c>
      <c r="G14" s="113">
        <f aca="true" t="shared" si="0" ref="G14:L14">SUM(G9:G13)</f>
        <v>523.39</v>
      </c>
      <c r="H14" s="113">
        <f t="shared" si="0"/>
        <v>1478.4</v>
      </c>
      <c r="I14" s="113">
        <f t="shared" si="0"/>
        <v>2310.4799999999996</v>
      </c>
      <c r="J14" s="113">
        <f t="shared" si="0"/>
        <v>883.5</v>
      </c>
      <c r="K14" s="113">
        <f t="shared" si="0"/>
        <v>30</v>
      </c>
      <c r="L14" s="113">
        <f t="shared" si="0"/>
        <v>5225.77</v>
      </c>
    </row>
    <row r="15" spans="1:9" ht="12.75">
      <c r="A15" s="50"/>
      <c r="I15" s="42"/>
    </row>
    <row r="16" ht="12.75">
      <c r="A16" s="50"/>
    </row>
    <row r="17" ht="12.75">
      <c r="A17" s="50"/>
    </row>
    <row r="18" ht="12.75">
      <c r="A18" s="50"/>
    </row>
    <row r="19" ht="12.75">
      <c r="A19" s="50"/>
    </row>
    <row r="20" ht="12.75">
      <c r="A20" s="50"/>
    </row>
    <row r="21" ht="12.75">
      <c r="A21" s="50"/>
    </row>
    <row r="22" ht="12.75">
      <c r="A22" s="50"/>
    </row>
    <row r="23" ht="12.75">
      <c r="A23" s="50"/>
    </row>
    <row r="24" ht="12.75">
      <c r="A24" s="50"/>
    </row>
    <row r="25" ht="12.75">
      <c r="A25" s="50"/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4.57421875" style="0" customWidth="1"/>
    <col min="2" max="2" width="10.140625" style="0" bestFit="1" customWidth="1"/>
    <col min="3" max="3" width="11.8515625" style="0" bestFit="1" customWidth="1"/>
    <col min="4" max="4" width="11.28125" style="0" bestFit="1" customWidth="1"/>
    <col min="5" max="5" width="18.8515625" style="0" bestFit="1" customWidth="1"/>
    <col min="6" max="6" width="36.00390625" style="0" customWidth="1"/>
    <col min="7" max="7" width="11.28125" style="0" bestFit="1" customWidth="1"/>
    <col min="8" max="8" width="10.140625" style="0" bestFit="1" customWidth="1"/>
    <col min="9" max="9" width="9.7109375" style="0" bestFit="1" customWidth="1"/>
    <col min="10" max="10" width="10.140625" style="0" bestFit="1" customWidth="1"/>
    <col min="11" max="11" width="9.421875" style="0" bestFit="1" customWidth="1"/>
    <col min="12" max="12" width="11.8515625" style="0" bestFit="1" customWidth="1"/>
  </cols>
  <sheetData>
    <row r="1" spans="1:12" ht="12.75">
      <c r="A1" s="1" t="s">
        <v>58</v>
      </c>
      <c r="B1" s="2"/>
      <c r="C1" s="2">
        <v>13785</v>
      </c>
      <c r="D1" s="2"/>
      <c r="E1" s="3"/>
      <c r="F1" s="19" t="s">
        <v>60</v>
      </c>
      <c r="G1" s="2"/>
      <c r="H1" s="2"/>
      <c r="I1" s="2"/>
      <c r="J1" s="2"/>
      <c r="K1" s="2"/>
      <c r="L1" s="2"/>
    </row>
    <row r="2" spans="1:12" ht="12.75">
      <c r="A2" s="2" t="s">
        <v>59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18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ht="38.25">
      <c r="A9" s="47" t="s">
        <v>126</v>
      </c>
      <c r="B9" s="27">
        <v>38742</v>
      </c>
      <c r="C9" s="53">
        <v>38655</v>
      </c>
      <c r="D9" s="53">
        <v>38660</v>
      </c>
      <c r="E9" t="s">
        <v>128</v>
      </c>
      <c r="F9" s="56" t="s">
        <v>127</v>
      </c>
      <c r="G9" s="40">
        <f>597.68+37.79</f>
        <v>635.4699999999999</v>
      </c>
      <c r="H9" s="40">
        <v>0</v>
      </c>
      <c r="I9" s="40">
        <v>456.57</v>
      </c>
      <c r="J9" s="40">
        <v>229.5</v>
      </c>
      <c r="K9" s="40">
        <v>0</v>
      </c>
      <c r="L9" s="24">
        <f>SUM(G9:K9)</f>
        <v>1321.54</v>
      </c>
    </row>
    <row r="10" spans="1:12" s="26" customFormat="1" ht="12.75">
      <c r="A10" s="26" t="s">
        <v>129</v>
      </c>
      <c r="B10" s="99">
        <v>38910</v>
      </c>
      <c r="C10" s="115">
        <v>38886</v>
      </c>
      <c r="D10" s="115">
        <v>38890</v>
      </c>
      <c r="E10" s="26" t="s">
        <v>242</v>
      </c>
      <c r="F10" s="26" t="s">
        <v>80</v>
      </c>
      <c r="G10" s="41">
        <f>74.81+62.24+306.56</f>
        <v>443.61</v>
      </c>
      <c r="H10" s="41">
        <v>638.7</v>
      </c>
      <c r="I10" s="41">
        <v>318.28</v>
      </c>
      <c r="J10" s="41">
        <v>175.5</v>
      </c>
      <c r="K10" s="41"/>
      <c r="L10" s="41">
        <f>SUM(G10:K10)</f>
        <v>1576.09</v>
      </c>
    </row>
    <row r="11" spans="1:12" ht="12.75">
      <c r="A11" s="2"/>
      <c r="B11" s="2"/>
      <c r="C11" s="2"/>
      <c r="D11" s="2"/>
      <c r="E11" s="3"/>
      <c r="F11" s="3"/>
      <c r="G11" s="23"/>
      <c r="H11" s="23"/>
      <c r="I11" s="23"/>
      <c r="J11" s="23"/>
      <c r="K11" s="23"/>
      <c r="L11" s="23"/>
    </row>
    <row r="12" spans="1:12" ht="12.75">
      <c r="A12" s="2"/>
      <c r="B12" s="2"/>
      <c r="C12" s="2"/>
      <c r="D12" s="2"/>
      <c r="E12" s="3"/>
      <c r="F12" s="19" t="s">
        <v>22</v>
      </c>
      <c r="G12" s="105">
        <f aca="true" t="shared" si="0" ref="G12:L12">SUM(G9:G11)</f>
        <v>1079.08</v>
      </c>
      <c r="H12" s="105">
        <f t="shared" si="0"/>
        <v>638.7</v>
      </c>
      <c r="I12" s="105">
        <f t="shared" si="0"/>
        <v>774.8499999999999</v>
      </c>
      <c r="J12" s="105">
        <f t="shared" si="0"/>
        <v>405</v>
      </c>
      <c r="K12" s="105">
        <f t="shared" si="0"/>
        <v>0</v>
      </c>
      <c r="L12" s="105">
        <f t="shared" si="0"/>
        <v>2897.63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tamsye-leake</dc:creator>
  <cp:keywords/>
  <dc:description/>
  <cp:lastModifiedBy>Bryan Crittenden</cp:lastModifiedBy>
  <cp:lastPrinted>2007-03-15T14:41:28Z</cp:lastPrinted>
  <dcterms:created xsi:type="dcterms:W3CDTF">2007-02-08T17:51:22Z</dcterms:created>
  <dcterms:modified xsi:type="dcterms:W3CDTF">2009-03-04T14:42:55Z</dcterms:modified>
  <cp:category/>
  <cp:version/>
  <cp:contentType/>
  <cp:contentStatus/>
</cp:coreProperties>
</file>